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36" yWindow="1050" windowWidth="19320" windowHeight="10305" activeTab="0"/>
  </bookViews>
  <sheets>
    <sheet name="留意事項" sheetId="1" r:id="rId1"/>
    <sheet name="記入シート１" sheetId="2" r:id="rId2"/>
    <sheet name="記入シート２" sheetId="3" r:id="rId3"/>
    <sheet name="立地補助金" sheetId="4" r:id="rId4"/>
    <sheet name="雇用補助金" sheetId="5" r:id="rId5"/>
    <sheet name="下水道使用補助金" sheetId="6" r:id="rId6"/>
    <sheet name="設備更新補助金" sheetId="7" r:id="rId7"/>
  </sheets>
  <definedNames>
    <definedName name="_xlnm.Print_Area" localSheetId="5">'下水道使用補助金'!$B$1:$J$36</definedName>
    <definedName name="_xlnm.Print_Area" localSheetId="1">'記入シート１'!$B$1:$K$35</definedName>
    <definedName name="_xlnm.Print_Area" localSheetId="2">'記入シート２'!$B$1:$J$25</definedName>
    <definedName name="_xlnm.Print_Area" localSheetId="4">'雇用補助金'!$B$1:$L$38</definedName>
    <definedName name="_xlnm.Print_Area" localSheetId="6">'設備更新補助金'!$B$1:$P$32</definedName>
    <definedName name="_xlnm.Print_Area" localSheetId="3">'立地補助金'!$B$1:$K$29</definedName>
    <definedName name="_xlnm.Print_Area" localSheetId="0">'留意事項'!$A$1:$J$33</definedName>
    <definedName name="リスト">INDIRECT('記入シート１'!$F$6)</definedName>
    <definedName name="新設">'記入シート１'!$AF$6</definedName>
    <definedName name="増設">'記入シート１'!$AG$6:$AG$8</definedName>
  </definedNames>
  <calcPr fullCalcOnLoad="1"/>
</workbook>
</file>

<file path=xl/comments2.xml><?xml version="1.0" encoding="utf-8"?>
<comments xmlns="http://schemas.openxmlformats.org/spreadsheetml/2006/main">
  <authors>
    <author>user</author>
  </authors>
  <commentList>
    <comment ref="D6" authorId="0">
      <text>
        <r>
          <rPr>
            <b/>
            <sz val="9"/>
            <rFont val="ＭＳ Ｐゴシック"/>
            <family val="3"/>
          </rPr>
          <t>新設、増設とは</t>
        </r>
        <r>
          <rPr>
            <sz val="9"/>
            <rFont val="ＭＳ Ｐゴシック"/>
            <family val="3"/>
          </rPr>
          <t xml:space="preserve">
□新設
　市内に対象施設を設置していない企業が施設を設置
□増設
　　市内に対象施設を設置している企業が事業規模の拡大を目的に当該施設を
    拡張、移転、設置
　　※事業規模の拡大とは
　　　生産量増、生産品目増、生産能力向上、従業員数増、新規事業参入など</t>
        </r>
      </text>
    </comment>
    <comment ref="D7" authorId="0">
      <text>
        <r>
          <rPr>
            <b/>
            <sz val="9"/>
            <rFont val="ＭＳ Ｐゴシック"/>
            <family val="3"/>
          </rPr>
          <t>食関連施設とは</t>
        </r>
        <r>
          <rPr>
            <sz val="9"/>
            <rFont val="ＭＳ Ｐゴシック"/>
            <family val="3"/>
          </rPr>
          <t xml:space="preserve">
下記業種の施設など
・食料品製造業　　　 　・清涼飲料製造業　
・酒類製造業　　　　　　・茶・コーヒー製造業</t>
        </r>
      </text>
    </comment>
    <comment ref="D11" authorId="0">
      <text>
        <r>
          <rPr>
            <sz val="9"/>
            <rFont val="ＭＳ Ｐゴシック"/>
            <family val="3"/>
          </rPr>
          <t>※新設の場合は、</t>
        </r>
        <r>
          <rPr>
            <sz val="9"/>
            <color indexed="10"/>
            <rFont val="ＭＳ Ｐゴシック"/>
            <family val="3"/>
          </rPr>
          <t>「増加する」が自動で選択</t>
        </r>
        <r>
          <rPr>
            <sz val="9"/>
            <rFont val="ＭＳ Ｐゴシック"/>
            <family val="3"/>
          </rPr>
          <t>されます。
※増設の場合は、</t>
        </r>
        <r>
          <rPr>
            <sz val="9"/>
            <color indexed="10"/>
            <rFont val="ＭＳ Ｐゴシック"/>
            <family val="3"/>
          </rPr>
          <t>「増加する」「変わらない」「減少する」のいずれかを選択</t>
        </r>
        <r>
          <rPr>
            <sz val="9"/>
            <rFont val="ＭＳ Ｐゴシック"/>
            <family val="3"/>
          </rPr>
          <t>してください。
例　　（既存対象施設）　　　　　　　 　（既存対象施設）　 （増設した対象施設）
　　　 　●●㈱A工場　　　　  ⇒　　　　●●㈱A工場　　　　　●●㈱B工場
　　　　　雇用者100人　　　増設後　　 　雇用者50人　　　　　　雇用者40人
　　※この場合は、B工場の雇用者40人を新規雇用した場合であっても、
　　　増設前の市内全体の対象施設の雇用者数が「100人」、
　　　増設後の市内全体の対象施設の雇用者数が「90人」　であるため、
　　　</t>
        </r>
        <r>
          <rPr>
            <sz val="9"/>
            <color indexed="10"/>
            <rFont val="ＭＳ Ｐゴシック"/>
            <family val="3"/>
          </rPr>
          <t>「減少する」</t>
        </r>
        <r>
          <rPr>
            <sz val="9"/>
            <rFont val="ＭＳ Ｐゴシック"/>
            <family val="3"/>
          </rPr>
          <t>を選んでください。</t>
        </r>
      </text>
    </comment>
  </commentList>
</comments>
</file>

<file path=xl/comments3.xml><?xml version="1.0" encoding="utf-8"?>
<comments xmlns="http://schemas.openxmlformats.org/spreadsheetml/2006/main">
  <authors>
    <author>user</author>
  </authors>
  <commentList>
    <comment ref="D13" authorId="0">
      <text>
        <r>
          <rPr>
            <sz val="9"/>
            <rFont val="ＭＳ Ｐゴシック"/>
            <family val="3"/>
          </rPr>
          <t xml:space="preserve">例　　（既存対象施設）　（設備更新する対象施設）　　　　　　　　 　（既存対象施設）　  （更新した対象施設）
　　　 　●●㈱A工場　　　 　 ●●㈱B工場　　　　　　　 ⇒　　　   　　●●㈱A工場　　　　　●●㈱B工場
　　　　　雇用者100人　　　　　　雇用者40人　　　　 設備更新後　　 　 雇用者90人　　　　　　雇用者40人
　　※この場合は、B工場の雇用者40人は変わらなくても、設備更新前の市内全体の対象施設の雇用者数が「140人」、
　　　設備更新後の市内全体の対象施設の雇用者数が「130人」　であるため、「減少する」を選んでください。 </t>
        </r>
      </text>
    </comment>
  </commentList>
</comments>
</file>

<file path=xl/sharedStrings.xml><?xml version="1.0" encoding="utf-8"?>
<sst xmlns="http://schemas.openxmlformats.org/spreadsheetml/2006/main" count="418" uniqueCount="268">
  <si>
    <t>■立地補助金算出</t>
  </si>
  <si>
    <t>固定資産税額</t>
  </si>
  <si>
    <t>算出基礎</t>
  </si>
  <si>
    <t>項目</t>
  </si>
  <si>
    <t>新設　or　増設</t>
  </si>
  <si>
    <t>新設</t>
  </si>
  <si>
    <t>増設</t>
  </si>
  <si>
    <t>①</t>
  </si>
  <si>
    <t>②</t>
  </si>
  <si>
    <t>③</t>
  </si>
  <si>
    <t>④</t>
  </si>
  <si>
    <t>⑤</t>
  </si>
  <si>
    <t>合計</t>
  </si>
  <si>
    <t>■雇用補助金算出</t>
  </si>
  <si>
    <t>雇用の増加人数</t>
  </si>
  <si>
    <t>⑥</t>
  </si>
  <si>
    <t>家屋及び償却資産の投資額</t>
  </si>
  <si>
    <t>採択要件【立地補助金】</t>
  </si>
  <si>
    <t>補助金額</t>
  </si>
  <si>
    <t>課税標準額</t>
  </si>
  <si>
    <t>対象施設</t>
  </si>
  <si>
    <t>製造加工施設</t>
  </si>
  <si>
    <t>環境エネルギー関連施設</t>
  </si>
  <si>
    <t>試験研究施設</t>
  </si>
  <si>
    <t>物流関連施設</t>
  </si>
  <si>
    <t>植物工場</t>
  </si>
  <si>
    <t>情報関連施設</t>
  </si>
  <si>
    <t>その他市長が特に必要があると認めたもの</t>
  </si>
  <si>
    <t>①</t>
  </si>
  <si>
    <t>⑦</t>
  </si>
  <si>
    <t>⑧</t>
  </si>
  <si>
    <t>既に市内にある対象施設の雇用者数</t>
  </si>
  <si>
    <t>⑨</t>
  </si>
  <si>
    <t>期間の判定</t>
  </si>
  <si>
    <t>採択の判定</t>
  </si>
  <si>
    <t>市内在住の雇用増加人数</t>
  </si>
  <si>
    <t>市外在住の雇用増加人数</t>
  </si>
  <si>
    <t>算出基礎　⑪</t>
  </si>
  <si>
    <t>雇用の増加人数　⑫</t>
  </si>
  <si>
    <t>期間　⑮</t>
  </si>
  <si>
    <t>⑯</t>
  </si>
  <si>
    <t>⑰</t>
  </si>
  <si>
    <t>⑱</t>
  </si>
  <si>
    <t>市内在住の雇用増加人数の内　障がい者数</t>
  </si>
  <si>
    <t>■補助金額の計算</t>
  </si>
  <si>
    <t>■下水道使用料補助金算出</t>
  </si>
  <si>
    <t>基準量（㎥）</t>
  </si>
  <si>
    <t>⑩＝⑧-⑨</t>
  </si>
  <si>
    <t>下水道単価（円/㎥）</t>
  </si>
  <si>
    <t>■設備更新補助金算出</t>
  </si>
  <si>
    <t>している</t>
  </si>
  <si>
    <t>していない</t>
  </si>
  <si>
    <t>設備更新する機械及び装置の投資額</t>
  </si>
  <si>
    <t>業種</t>
  </si>
  <si>
    <t>常時使用従業員数</t>
  </si>
  <si>
    <t>資本金額又は出資の総額</t>
  </si>
  <si>
    <t>(人）</t>
  </si>
  <si>
    <t>（円）</t>
  </si>
  <si>
    <t>常時使用している従業員数</t>
  </si>
  <si>
    <t>資本金額又は出資の総額</t>
  </si>
  <si>
    <t>⑫</t>
  </si>
  <si>
    <t>円</t>
  </si>
  <si>
    <t>⑮</t>
  </si>
  <si>
    <t>①対象施設</t>
  </si>
  <si>
    <t>②新設　or　増設</t>
  </si>
  <si>
    <t>■リスト</t>
  </si>
  <si>
    <t>■採択要件・限度額</t>
  </si>
  <si>
    <t>⑩a</t>
  </si>
  <si>
    <t>式：⑪×⑫</t>
  </si>
  <si>
    <t>⑬＝⑪×⑫</t>
  </si>
  <si>
    <t>式：⑯＋⑰＋⑱</t>
  </si>
  <si>
    <t>式：⑧×0.8</t>
  </si>
  <si>
    <t>式：⑨×0.8</t>
  </si>
  <si>
    <t>式：⑥</t>
  </si>
  <si>
    <t>⑪＝⑩×12月</t>
  </si>
  <si>
    <t>年の補助対象使用水量（㎥）</t>
  </si>
  <si>
    <t>補助金額（円）</t>
  </si>
  <si>
    <t>①</t>
  </si>
  <si>
    <t>④市内で１０年以上継続している・していない</t>
  </si>
  <si>
    <t>立地補助金　採択の判定</t>
  </si>
  <si>
    <t>雇用補助金　採択の判定</t>
  </si>
  <si>
    <t>雇用補助金　期間の判定</t>
  </si>
  <si>
    <t>③</t>
  </si>
  <si>
    <t>④</t>
  </si>
  <si>
    <t>入力の判定</t>
  </si>
  <si>
    <t>補助期間（年）</t>
  </si>
  <si>
    <t>雇用補助金　入力の判定</t>
  </si>
  <si>
    <t>下水道使用料補助金　使用量の判定</t>
  </si>
  <si>
    <t>立地補助金</t>
  </si>
  <si>
    <t>雇用補助金</t>
  </si>
  <si>
    <t>下水道使用料補助金</t>
  </si>
  <si>
    <t>補助期間</t>
  </si>
  <si>
    <t>補助金額（補助期間の合計）</t>
  </si>
  <si>
    <t>合計</t>
  </si>
  <si>
    <t>■算出方法</t>
  </si>
  <si>
    <t>設備更新補助金</t>
  </si>
  <si>
    <t>【参考】</t>
  </si>
  <si>
    <t>中小企業基本法</t>
  </si>
  <si>
    <t>対象施設</t>
  </si>
  <si>
    <t>■中小企業基本法第2条1項の規定</t>
  </si>
  <si>
    <t>▼判定</t>
  </si>
  <si>
    <t>▼補助金額</t>
  </si>
  <si>
    <t>１年目　固定資産税評価額（円）</t>
  </si>
  <si>
    <t>採択要件【雇用補助金】　　１年目　固定資産税評価額（円）</t>
  </si>
  <si>
    <t>採択要件【下水道使用料補助金】　１年目　固定資産税評価額（円）</t>
  </si>
  <si>
    <t>雇用増加人数（人）</t>
  </si>
  <si>
    <t>採択要件【設備更新補助金】　１年目　固定資産税評価額（円）</t>
  </si>
  <si>
    <t>（要件は500㎥/月以上です。）</t>
  </si>
  <si>
    <t>▼設備更新の場合【設備更新補助金が該当】</t>
  </si>
  <si>
    <t>（②増設の場合のみ記入願います。）</t>
  </si>
  <si>
    <t>限度額【下水道使用料補助金】　（円/年）</t>
  </si>
  <si>
    <t>限度額【雇用補助金】　（円／年）</t>
  </si>
  <si>
    <t>限度額【立地補助金】　（円/年）</t>
  </si>
  <si>
    <t>※⑱は限度額なし</t>
  </si>
  <si>
    <t>各項目の年額　⑬</t>
  </si>
  <si>
    <t>合計　⑭</t>
  </si>
  <si>
    <t>⑩b</t>
  </si>
  <si>
    <t>⑩ｃ</t>
  </si>
  <si>
    <t>限度額【設備更新補助金】　（円/年）</t>
  </si>
  <si>
    <t>⑤</t>
  </si>
  <si>
    <t>固定資産評価額</t>
  </si>
  <si>
    <t>⑥</t>
  </si>
  <si>
    <t>⑨</t>
  </si>
  <si>
    <t>採択要件【立地・雇用・下水道使用量補助金】</t>
  </si>
  <si>
    <t>■採択要件</t>
  </si>
  <si>
    <t>採択要件額</t>
  </si>
  <si>
    <t>⑧a</t>
  </si>
  <si>
    <t>⑧b</t>
  </si>
  <si>
    <t>【式：⑦＝⑧a＋⑧ｂ】　（増加人数が記入されます。）</t>
  </si>
  <si>
    <t>（⑦の内、市内在住人数を記入してください。）</t>
  </si>
  <si>
    <t>（⑦の内、市外在住人数を記入してください。）</t>
  </si>
  <si>
    <t>（⑧aの内、障がい者人数を記入してください。）</t>
  </si>
  <si>
    <t>採択要件【設備更新補助金】</t>
  </si>
  <si>
    <t>１年目　固定資産税評価額（円）</t>
  </si>
  <si>
    <t>固定資産評価額</t>
  </si>
  <si>
    <t>採択要件額</t>
  </si>
  <si>
    <t>卸売業</t>
  </si>
  <si>
    <t>サービス業</t>
  </si>
  <si>
    <t>小売業</t>
  </si>
  <si>
    <r>
      <t>第二条 　この法律に基づいて講ずる国の施策の対象とする中小企業者は、おおむね次の各号に掲げるものとし、その範囲は、これらの施策が次条の基本理念の実現を図るため効率的に実施されるように施策ごとに定めるものとする。
一 　資本金の額又は出資の総額が</t>
    </r>
    <r>
      <rPr>
        <sz val="11"/>
        <color indexed="10"/>
        <rFont val="ＭＳ Ｐゴシック"/>
        <family val="3"/>
      </rPr>
      <t>三億円以下</t>
    </r>
    <r>
      <rPr>
        <sz val="11"/>
        <color indexed="12"/>
        <rFont val="ＭＳ Ｐゴシック"/>
        <family val="3"/>
      </rPr>
      <t>の会社並びに常時使用する従業員の数が</t>
    </r>
    <r>
      <rPr>
        <sz val="11"/>
        <color indexed="10"/>
        <rFont val="ＭＳ Ｐゴシック"/>
        <family val="3"/>
      </rPr>
      <t>三百人以下</t>
    </r>
    <r>
      <rPr>
        <sz val="11"/>
        <color indexed="12"/>
        <rFont val="ＭＳ Ｐゴシック"/>
        <family val="3"/>
      </rPr>
      <t>の会社及び個人であつて、</t>
    </r>
    <r>
      <rPr>
        <sz val="11"/>
        <color indexed="10"/>
        <rFont val="ＭＳ Ｐゴシック"/>
        <family val="3"/>
      </rPr>
      <t>製造業、建設業、運輸業</t>
    </r>
    <r>
      <rPr>
        <sz val="11"/>
        <color indexed="10"/>
        <rFont val="ＭＳ Ｐゴシック"/>
        <family val="3"/>
      </rPr>
      <t>その他の業種</t>
    </r>
    <r>
      <rPr>
        <sz val="11"/>
        <color indexed="10"/>
        <rFont val="ＭＳ Ｐゴシック"/>
        <family val="3"/>
      </rPr>
      <t>（次号から第四号までに掲げる業種を除く。）</t>
    </r>
    <r>
      <rPr>
        <sz val="11"/>
        <color indexed="12"/>
        <rFont val="ＭＳ Ｐゴシック"/>
        <family val="3"/>
      </rPr>
      <t xml:space="preserve">に属する事業を主たる事業として営むもの 
</t>
    </r>
    <r>
      <rPr>
        <sz val="11"/>
        <color indexed="12"/>
        <rFont val="ＭＳ Ｐゴシック"/>
        <family val="3"/>
      </rPr>
      <t xml:space="preserve">
二 　資本金の額又は出資の総額が</t>
    </r>
    <r>
      <rPr>
        <sz val="11"/>
        <color indexed="10"/>
        <rFont val="ＭＳ Ｐゴシック"/>
        <family val="3"/>
      </rPr>
      <t>一億円以下</t>
    </r>
    <r>
      <rPr>
        <sz val="11"/>
        <color indexed="12"/>
        <rFont val="ＭＳ Ｐゴシック"/>
        <family val="3"/>
      </rPr>
      <t>の会社並びに常時使用する従業員の数が</t>
    </r>
    <r>
      <rPr>
        <sz val="11"/>
        <color indexed="10"/>
        <rFont val="ＭＳ Ｐゴシック"/>
        <family val="3"/>
      </rPr>
      <t>百人以下</t>
    </r>
    <r>
      <rPr>
        <sz val="11"/>
        <color indexed="12"/>
        <rFont val="ＭＳ Ｐゴシック"/>
        <family val="3"/>
      </rPr>
      <t>の会社及び個人であつて、</t>
    </r>
    <r>
      <rPr>
        <sz val="11"/>
        <color indexed="10"/>
        <rFont val="ＭＳ Ｐゴシック"/>
        <family val="3"/>
      </rPr>
      <t>卸売業</t>
    </r>
    <r>
      <rPr>
        <sz val="11"/>
        <color indexed="12"/>
        <rFont val="ＭＳ Ｐゴシック"/>
        <family val="3"/>
      </rPr>
      <t>に属する事業を主たる事業として営むもの 
三 　資本金の額又は出資の総額が</t>
    </r>
    <r>
      <rPr>
        <sz val="11"/>
        <color indexed="10"/>
        <rFont val="ＭＳ Ｐゴシック"/>
        <family val="3"/>
      </rPr>
      <t>五千万円以下</t>
    </r>
    <r>
      <rPr>
        <sz val="11"/>
        <color indexed="12"/>
        <rFont val="ＭＳ Ｐゴシック"/>
        <family val="3"/>
      </rPr>
      <t>の会社並びに常時使用する従業員の数が</t>
    </r>
    <r>
      <rPr>
        <sz val="11"/>
        <color indexed="10"/>
        <rFont val="ＭＳ Ｐゴシック"/>
        <family val="3"/>
      </rPr>
      <t>百人以下</t>
    </r>
    <r>
      <rPr>
        <sz val="11"/>
        <color indexed="12"/>
        <rFont val="ＭＳ Ｐゴシック"/>
        <family val="3"/>
      </rPr>
      <t>の会社及び個人であつて、</t>
    </r>
    <r>
      <rPr>
        <sz val="11"/>
        <color indexed="10"/>
        <rFont val="ＭＳ Ｐゴシック"/>
        <family val="3"/>
      </rPr>
      <t>サービス業</t>
    </r>
    <r>
      <rPr>
        <sz val="11"/>
        <color indexed="12"/>
        <rFont val="ＭＳ Ｐゴシック"/>
        <family val="3"/>
      </rPr>
      <t>に属する事業を主たる事業として営むもの 
四 　資本金の額又は出資の総額が</t>
    </r>
    <r>
      <rPr>
        <sz val="11"/>
        <color indexed="10"/>
        <rFont val="ＭＳ Ｐゴシック"/>
        <family val="3"/>
      </rPr>
      <t>五千万円以下</t>
    </r>
    <r>
      <rPr>
        <sz val="11"/>
        <color indexed="12"/>
        <rFont val="ＭＳ Ｐゴシック"/>
        <family val="3"/>
      </rPr>
      <t>の会社並びに常時使用する従業員の数が</t>
    </r>
    <r>
      <rPr>
        <sz val="11"/>
        <color indexed="10"/>
        <rFont val="ＭＳ Ｐゴシック"/>
        <family val="3"/>
      </rPr>
      <t>五十人以下</t>
    </r>
    <r>
      <rPr>
        <sz val="11"/>
        <color indexed="12"/>
        <rFont val="ＭＳ Ｐゴシック"/>
        <family val="3"/>
      </rPr>
      <t>の会社及び個人であつて、</t>
    </r>
    <r>
      <rPr>
        <sz val="11"/>
        <color indexed="10"/>
        <rFont val="ＭＳ Ｐゴシック"/>
        <family val="3"/>
      </rPr>
      <t>小売業</t>
    </r>
    <r>
      <rPr>
        <sz val="11"/>
        <color indexed="12"/>
        <rFont val="ＭＳ Ｐゴシック"/>
        <family val="3"/>
      </rPr>
      <t xml:space="preserve">に属する事業を主たる事業として営むもの </t>
    </r>
    <r>
      <rPr>
        <sz val="11"/>
        <color indexed="12"/>
        <rFont val="ＭＳ Ｐゴシック"/>
        <family val="3"/>
      </rPr>
      <t xml:space="preserve">
 </t>
    </r>
  </si>
  <si>
    <t>②中小企業法の業種</t>
  </si>
  <si>
    <t>製造業、建設業、運輸業その他の業種（卸売業、サービス業、小売業以外）</t>
  </si>
  <si>
    <t>中小企業法の規定</t>
  </si>
  <si>
    <t>①</t>
  </si>
  <si>
    <t>食関連施設である・ない</t>
  </si>
  <si>
    <t>食関連施設ではない</t>
  </si>
  <si>
    <t>食関連施設である</t>
  </si>
  <si>
    <t>③食関連施設である・ない</t>
  </si>
  <si>
    <t>食関連施設でない</t>
  </si>
  <si>
    <t>サービス業</t>
  </si>
  <si>
    <t>④</t>
  </si>
  <si>
    <t>⑩</t>
  </si>
  <si>
    <t>⑪</t>
  </si>
  <si>
    <t>式：⑩</t>
  </si>
  <si>
    <t>式：⑫×0.77</t>
  </si>
  <si>
    <t>式：⑬×0.77</t>
  </si>
  <si>
    <t>中小企業法の規定</t>
  </si>
  <si>
    <t>④</t>
  </si>
  <si>
    <t>下水道使用料補助金　採択の判定</t>
  </si>
  <si>
    <t>■記入シート２</t>
  </si>
  <si>
    <t>■記入シート１</t>
  </si>
  <si>
    <t>⑧c</t>
  </si>
  <si>
    <t>①</t>
  </si>
  <si>
    <t>資本金額又は出資の総額</t>
  </si>
  <si>
    <t>採択要件額</t>
  </si>
  <si>
    <t>②</t>
  </si>
  <si>
    <t>③</t>
  </si>
  <si>
    <t>⑤</t>
  </si>
  <si>
    <t>⑥</t>
  </si>
  <si>
    <t>⑦</t>
  </si>
  <si>
    <t>⑧</t>
  </si>
  <si>
    <t>⑨</t>
  </si>
  <si>
    <t>⑩</t>
  </si>
  <si>
    <t>⑪</t>
  </si>
  <si>
    <t>市内で10年以上継続している・していない</t>
  </si>
  <si>
    <t>コールセンター</t>
  </si>
  <si>
    <t>コールセンター</t>
  </si>
  <si>
    <t>コールセンター</t>
  </si>
  <si>
    <t>　（業種）</t>
  </si>
  <si>
    <t>1年目　固定資産税評価額</t>
  </si>
  <si>
    <r>
      <t>(概算で投資額の</t>
    </r>
    <r>
      <rPr>
        <sz val="11"/>
        <color indexed="12"/>
        <rFont val="ＭＳ Ｐゴシック"/>
        <family val="3"/>
      </rPr>
      <t>70%</t>
    </r>
    <r>
      <rPr>
        <sz val="11"/>
        <color indexed="12"/>
        <rFont val="ＭＳ Ｐゴシック"/>
        <family val="3"/>
      </rPr>
      <t>としています。）</t>
    </r>
  </si>
  <si>
    <t>課税標準額×1.4%</t>
  </si>
  <si>
    <t>※固定資産税評価額は概算で投資額の70%としています。</t>
  </si>
  <si>
    <r>
      <t>※償却資産ごとに減価償却期間が変わるため、一律前年の80</t>
    </r>
    <r>
      <rPr>
        <sz val="11"/>
        <color indexed="12"/>
        <rFont val="ＭＳ Ｐゴシック"/>
        <family val="3"/>
      </rPr>
      <t>%</t>
    </r>
    <r>
      <rPr>
        <sz val="11"/>
        <color indexed="12"/>
        <rFont val="ＭＳ Ｐゴシック"/>
        <family val="3"/>
      </rPr>
      <t>としています。</t>
    </r>
  </si>
  <si>
    <t>1年目　⑧</t>
  </si>
  <si>
    <t>2年目　⑨</t>
  </si>
  <si>
    <t>3年目　⑩</t>
  </si>
  <si>
    <t>1年目：投資額×70%
2年目：1年目×80%
3年目：2年目×80%</t>
  </si>
  <si>
    <t>(概算で投資額の70%としています。）</t>
  </si>
  <si>
    <t>【式：⑤＝④×0.7】(概算で投資額の70%としています。）</t>
  </si>
  <si>
    <t>【単位：円】</t>
  </si>
  <si>
    <t>⑩c</t>
  </si>
  <si>
    <t>市内在住の雇用者数　</t>
  </si>
  <si>
    <t>市外在住の雇用者数　</t>
  </si>
  <si>
    <t>障がい者数　　　　　　</t>
  </si>
  <si>
    <t>※課税標準額は1,000円未満切捨て、固定資産税額は100円未満切捨てです。</t>
  </si>
  <si>
    <t>月の補助対象使用量（㎥）</t>
  </si>
  <si>
    <t>月平均使用量（㎥）</t>
  </si>
  <si>
    <t>補助対象年額（円）</t>
  </si>
  <si>
    <r>
      <t>(概算で投資額の</t>
    </r>
    <r>
      <rPr>
        <sz val="11"/>
        <color indexed="12"/>
        <rFont val="ＭＳ Ｐゴシック"/>
        <family val="3"/>
      </rPr>
      <t>70%と</t>
    </r>
    <r>
      <rPr>
        <sz val="11"/>
        <color indexed="12"/>
        <rFont val="ＭＳ Ｐゴシック"/>
        <family val="3"/>
      </rPr>
      <t>しています。）</t>
    </r>
  </si>
  <si>
    <t>⑭＝⑬÷2</t>
  </si>
  <si>
    <t>※上記単価には消費税及び地方消費税を含まない</t>
  </si>
  <si>
    <t>※固定資産税評価額は概算で投資額の85%としています。</t>
  </si>
  <si>
    <t>※償却資産ごとに減価償却期間が変わるため、一律前年の77%としています。</t>
  </si>
  <si>
    <t>1年目　　⑫</t>
  </si>
  <si>
    <t>2年目　　⑬</t>
  </si>
  <si>
    <t>3年目　　⑭</t>
  </si>
  <si>
    <r>
      <t>(概算で投資額の</t>
    </r>
    <r>
      <rPr>
        <sz val="11"/>
        <color indexed="12"/>
        <rFont val="ＭＳ Ｐゴシック"/>
        <family val="3"/>
      </rPr>
      <t>85%</t>
    </r>
    <r>
      <rPr>
        <sz val="11"/>
        <color indexed="12"/>
        <rFont val="ＭＳ Ｐゴシック"/>
        <family val="3"/>
      </rPr>
      <t>としています。）</t>
    </r>
  </si>
  <si>
    <t>1年目：投資額×85%
2年目：1年目×77%
3年目：2年目×77%</t>
  </si>
  <si>
    <t>　（常時使用従業員数）</t>
  </si>
  <si>
    <t>　（業種）</t>
  </si>
  <si>
    <t>　（常時使用従業員数）</t>
  </si>
  <si>
    <t>　（資本金額又は出資の総額）</t>
  </si>
  <si>
    <t xml:space="preserve"> 円</t>
  </si>
  <si>
    <t>年額合計⑭</t>
  </si>
  <si>
    <t>期間⑮</t>
  </si>
  <si>
    <t>補助金額</t>
  </si>
  <si>
    <t>　　　 　  補助金額</t>
  </si>
  <si>
    <t>●このシステムは、簡易的に補助金の目安額を把握するものであり、
　 正確な補助金額は交付申請の審査後に確定することとなりますので、
 　ご留意願います。（補助要件に合致しない場合もありますのでご留意
　 願います。）</t>
  </si>
  <si>
    <t>●対象施設を新設した場合、増設した場合及び既存企業が設備更新を
　 した場合で、それぞれ補助要件や補助金額が変わりますのでご留意
　 願います。</t>
  </si>
  <si>
    <t>＊新設、増設の場合は、記入シート１をお使い下さい。</t>
  </si>
  <si>
    <t>＊設備更新の場合は、記入シート２をお使い下さい。</t>
  </si>
  <si>
    <t>＊記入シートで、コンボボックスや白地セルに必要事項を選択・記入して
　 ください。</t>
  </si>
  <si>
    <t>＊記入シートでは補助金の総額を記載していますが、各年度ごとの金額
　 を知りたい場合は各シートを開いてご確認してください。</t>
  </si>
  <si>
    <t>　　　  江別市経済部企業立地推進室企業立地課　企業立地担当
　　　  〒067-8674 北海道江別市高砂町6番地
　　　  江別市役所第2別館2階
　　　  TEL ： 011-381-1087 　 FAX ： 011-381-1072
　　　  E-mail ： kigyouricchi@city.ebetsu.lg.jp
　　　  開庁時間 ： 月曜日から金曜日／8時45分から17時15分
　　　　　　　     　 （土曜日・日曜日・祝日は閉庁）</t>
  </si>
  <si>
    <t xml:space="preserve">     ＜お問い合わせ＞</t>
  </si>
  <si>
    <t>補 助 金 額 算 出 に あ た っ て の 留 意 事 項</t>
  </si>
  <si>
    <t>設備更新後の雇用者数</t>
  </si>
  <si>
    <t>変わらない</t>
  </si>
  <si>
    <t>減少する</t>
  </si>
  <si>
    <t>増加する</t>
  </si>
  <si>
    <t>設備更新前後の雇用増減</t>
  </si>
  <si>
    <r>
      <t>※限度額は、新設</t>
    </r>
    <r>
      <rPr>
        <sz val="11"/>
        <color indexed="12"/>
        <rFont val="ＭＳ Ｐゴシック"/>
        <family val="3"/>
      </rPr>
      <t>5,000</t>
    </r>
    <r>
      <rPr>
        <sz val="11"/>
        <color indexed="12"/>
        <rFont val="ＭＳ Ｐゴシック"/>
        <family val="3"/>
      </rPr>
      <t>万円/年、増設</t>
    </r>
    <r>
      <rPr>
        <sz val="11"/>
        <color indexed="12"/>
        <rFont val="ＭＳ Ｐゴシック"/>
        <family val="3"/>
      </rPr>
      <t>2,000</t>
    </r>
    <r>
      <rPr>
        <sz val="11"/>
        <color indexed="12"/>
        <rFont val="ＭＳ Ｐゴシック"/>
        <family val="3"/>
      </rPr>
      <t>万円/年　　</t>
    </r>
  </si>
  <si>
    <t>※1,000円未満切捨て</t>
  </si>
  <si>
    <t>※限度額1,000万円/年</t>
  </si>
  <si>
    <t>（リストから選んでください。）</t>
  </si>
  <si>
    <t>（円単位で記入してください。）</t>
  </si>
  <si>
    <t>（企業全体の従業員を記入してください。）</t>
  </si>
  <si>
    <t>（円単位で記入してください。）</t>
  </si>
  <si>
    <t>【式：⑩＝⑨×0.85】(概算で投資額の85%としています。）</t>
  </si>
  <si>
    <t>雇用の増加人数</t>
  </si>
  <si>
    <t>※⑯＋⑰合計限度額は、1,000万円/年</t>
  </si>
  <si>
    <t>⑪</t>
  </si>
  <si>
    <t>設備更新前後の市内全体の対象施設の雇用増減</t>
  </si>
  <si>
    <t>⑤</t>
  </si>
  <si>
    <t>⑥</t>
  </si>
  <si>
    <t>⑦</t>
  </si>
  <si>
    <t>⑧</t>
  </si>
  <si>
    <t>⑦</t>
  </si>
  <si>
    <t>⑧</t>
  </si>
  <si>
    <t>雇用者数（⑥+⑨）</t>
  </si>
  <si>
    <t>立地等前後の市内全体の対象施設の雇用増減</t>
  </si>
  <si>
    <t>立地等前後の市内全体の対象施設の雇用増減</t>
  </si>
  <si>
    <t>立地等前後の市内全体の対象施設の雇用増減</t>
  </si>
  <si>
    <t>⑥</t>
  </si>
  <si>
    <t>⑦</t>
  </si>
  <si>
    <t>⑧</t>
  </si>
  <si>
    <t>⑨</t>
  </si>
  <si>
    <t>▼新設・増設の場合【立地補助金、雇用補助金、下水道使用料補助金が該当】</t>
  </si>
  <si>
    <t>　（資本金額又は出資の総額）</t>
  </si>
  <si>
    <t>補助金額
（補助期間の合計）</t>
  </si>
  <si>
    <t>卸売業、サービス業、
小売業以外の業種</t>
  </si>
  <si>
    <t>新設</t>
  </si>
  <si>
    <t>増設</t>
  </si>
  <si>
    <t>要件の判定</t>
  </si>
  <si>
    <t>採択判定</t>
  </si>
  <si>
    <t>（②増設の場合のみリストから選んでください。）</t>
  </si>
  <si>
    <t>月平均の下水道使用量</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</si>
</sst>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quot;人&quot;"/>
    <numFmt numFmtId="179" formatCode="#,###&quot;万円/人&quot;"/>
    <numFmt numFmtId="180" formatCode="#,###&quot;年間&quot;"/>
    <numFmt numFmtId="181" formatCode="#,###&quot;㎥&quot;"/>
    <numFmt numFmtId="182" formatCode="&quot;Yes&quot;;&quot;Yes&quot;;&quot;No&quot;"/>
    <numFmt numFmtId="183" formatCode="&quot;True&quot;;&quot;True&quot;;&quot;False&quot;"/>
    <numFmt numFmtId="184" formatCode="&quot;On&quot;;&quot;On&quot;;&quot;Off&quot;"/>
    <numFmt numFmtId="185" formatCode="[$€-2]\ #,##0.00_);[Red]\([$€-2]\ #,##0.00\)"/>
    <numFmt numFmtId="186" formatCode="##,##0&quot;円&quot;"/>
    <numFmt numFmtId="187" formatCode="##,##0&quot;人&quot;"/>
    <numFmt numFmtId="188" formatCode="##,##0&quot;㎥&quot;"/>
  </numFmts>
  <fonts count="65">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color indexed="12"/>
      <name val="ＭＳ Ｐゴシック"/>
      <family val="3"/>
    </font>
    <font>
      <sz val="9"/>
      <name val="ＭＳ Ｐゴシック"/>
      <family val="3"/>
    </font>
    <font>
      <b/>
      <sz val="9"/>
      <name val="ＭＳ Ｐゴシック"/>
      <family val="3"/>
    </font>
    <font>
      <sz val="11"/>
      <color indexed="9"/>
      <name val="ＭＳ Ｐゴシック"/>
      <family val="3"/>
    </font>
    <font>
      <sz val="16"/>
      <color indexed="12"/>
      <name val="ＭＳ Ｐゴシック"/>
      <family val="3"/>
    </font>
    <font>
      <b/>
      <sz val="12"/>
      <color indexed="10"/>
      <name val="ＭＳ Ｐゴシック"/>
      <family val="3"/>
    </font>
    <font>
      <sz val="18"/>
      <color indexed="12"/>
      <name val="ＭＳ Ｐゴシック"/>
      <family val="3"/>
    </font>
    <font>
      <b/>
      <sz val="16"/>
      <color indexed="12"/>
      <name val="ＭＳ Ｐゴシック"/>
      <family val="3"/>
    </font>
    <font>
      <sz val="10"/>
      <color indexed="12"/>
      <name val="ＭＳ Ｐゴシック"/>
      <family val="3"/>
    </font>
    <font>
      <sz val="12"/>
      <color indexed="12"/>
      <name val="ＭＳ Ｐゴシック"/>
      <family val="3"/>
    </font>
    <font>
      <sz val="10"/>
      <color indexed="10"/>
      <name val="ＭＳ Ｐゴシック"/>
      <family val="3"/>
    </font>
    <font>
      <sz val="12"/>
      <color indexed="10"/>
      <name val="ＭＳ Ｐゴシック"/>
      <family val="3"/>
    </font>
    <font>
      <b/>
      <sz val="10"/>
      <color indexed="10"/>
      <name val="ＭＳ Ｐゴシック"/>
      <family val="3"/>
    </font>
    <font>
      <sz val="18"/>
      <color indexed="9"/>
      <name val="ＭＳ Ｐゴシック"/>
      <family val="3"/>
    </font>
    <font>
      <b/>
      <sz val="18"/>
      <color indexed="8"/>
      <name val="ＭＳ Ｐゴシック"/>
      <family val="3"/>
    </font>
    <font>
      <sz val="18"/>
      <color indexed="8"/>
      <name val="ＭＳ Ｐゴシック"/>
      <family val="3"/>
    </font>
    <font>
      <sz val="18"/>
      <color indexed="10"/>
      <name val="ＭＳ Ｐゴシック"/>
      <family val="3"/>
    </font>
    <font>
      <sz val="18"/>
      <name val="ＭＳ Ｐゴシック"/>
      <family val="3"/>
    </font>
    <font>
      <sz val="10"/>
      <name val="ＭＳ Ｐゴシック"/>
      <family val="3"/>
    </font>
    <font>
      <b/>
      <sz val="11"/>
      <color indexed="10"/>
      <name val="ＭＳ Ｐゴシック"/>
      <family val="3"/>
    </font>
    <font>
      <b/>
      <sz val="11"/>
      <color indexed="12"/>
      <name val="ＭＳ Ｐゴシック"/>
      <family val="3"/>
    </font>
    <font>
      <b/>
      <sz val="18"/>
      <color indexed="12"/>
      <name val="ＭＳ Ｐゴシック"/>
      <family val="3"/>
    </font>
    <font>
      <b/>
      <sz val="18"/>
      <name val="ＭＳ Ｐゴシック"/>
      <family val="3"/>
    </font>
    <font>
      <sz val="24"/>
      <color indexed="12"/>
      <name val="ＭＳ Ｐゴシック"/>
      <family val="3"/>
    </font>
    <font>
      <sz val="9"/>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hair"/>
      <bottom style="thin"/>
    </border>
    <border>
      <left>
        <color indexed="63"/>
      </left>
      <right>
        <color indexed="63"/>
      </right>
      <top>
        <color indexed="63"/>
      </top>
      <bottom style="thin"/>
    </border>
    <border>
      <left>
        <color indexed="63"/>
      </left>
      <right style="thin"/>
      <top style="hair"/>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color indexed="63"/>
      </top>
      <bottom style="thin">
        <color indexed="22"/>
      </bottom>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style="thin"/>
    </border>
    <border>
      <left>
        <color indexed="63"/>
      </left>
      <right style="thin"/>
      <top style="thin"/>
      <bottom style="thin"/>
    </border>
    <border>
      <left style="thin"/>
      <right style="thin"/>
      <top style="thin"/>
      <bottom style="hair"/>
    </border>
    <border>
      <left style="thin"/>
      <right style="thin"/>
      <top>
        <color indexed="63"/>
      </top>
      <bottom style="thin"/>
    </border>
    <border>
      <left>
        <color indexed="63"/>
      </left>
      <right style="thin"/>
      <top>
        <color indexed="63"/>
      </top>
      <bottom>
        <color indexed="63"/>
      </bottom>
    </border>
    <border>
      <left>
        <color indexed="63"/>
      </left>
      <right>
        <color indexed="63"/>
      </right>
      <top style="thin">
        <color indexed="22"/>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bottom style="thin">
        <color indexed="22"/>
      </bottom>
    </border>
    <border>
      <left>
        <color indexed="63"/>
      </left>
      <right>
        <color indexed="63"/>
      </right>
      <top style="thin">
        <color indexed="22"/>
      </top>
      <bottom style="thin"/>
    </border>
    <border>
      <left style="thin">
        <color indexed="22"/>
      </left>
      <right>
        <color indexed="63"/>
      </right>
      <top style="thin"/>
      <bottom>
        <color indexed="63"/>
      </bottom>
    </border>
    <border>
      <left style="thin">
        <color indexed="22"/>
      </left>
      <right>
        <color indexed="63"/>
      </right>
      <top>
        <color indexed="63"/>
      </top>
      <bottom style="thin"/>
    </border>
    <border>
      <left style="thin"/>
      <right>
        <color indexed="63"/>
      </right>
      <top>
        <color indexed="63"/>
      </top>
      <bottom style="hair"/>
    </border>
    <border>
      <left>
        <color indexed="63"/>
      </left>
      <right>
        <color indexed="63"/>
      </right>
      <top>
        <color indexed="63"/>
      </top>
      <bottom style="double"/>
    </border>
    <border>
      <left>
        <color indexed="63"/>
      </left>
      <right style="thin">
        <color indexed="22"/>
      </right>
      <top style="thin"/>
      <bottom>
        <color indexed="63"/>
      </bottom>
    </border>
    <border>
      <left>
        <color indexed="63"/>
      </left>
      <right style="thin">
        <color indexed="22"/>
      </right>
      <top>
        <color indexed="63"/>
      </top>
      <bottom style="thin"/>
    </border>
    <border>
      <left>
        <color indexed="63"/>
      </left>
      <right>
        <color indexed="63"/>
      </right>
      <top>
        <color indexed="63"/>
      </top>
      <bottom style="thin">
        <color indexed="22"/>
      </bottom>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color indexed="63"/>
      </right>
      <top style="thin"/>
      <bottom style="thin"/>
      <diagonal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1"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298">
    <xf numFmtId="0" fontId="0" fillId="0" borderId="0" xfId="0" applyFont="1" applyAlignment="1">
      <alignment vertical="center"/>
    </xf>
    <xf numFmtId="38" fontId="11" fillId="33" borderId="0" xfId="49" applyFont="1" applyFill="1" applyAlignment="1">
      <alignment vertical="center"/>
    </xf>
    <xf numFmtId="38" fontId="12" fillId="33" borderId="0" xfId="49" applyFont="1" applyFill="1" applyAlignment="1">
      <alignment vertical="center"/>
    </xf>
    <xf numFmtId="38" fontId="13" fillId="33" borderId="0" xfId="49" applyFont="1" applyFill="1" applyAlignment="1">
      <alignment vertical="center"/>
    </xf>
    <xf numFmtId="38" fontId="14" fillId="33" borderId="0" xfId="49" applyFont="1" applyFill="1" applyAlignment="1">
      <alignment vertical="center"/>
    </xf>
    <xf numFmtId="38" fontId="12" fillId="33" borderId="10" xfId="49" applyFont="1" applyFill="1" applyBorder="1" applyAlignment="1">
      <alignment vertical="center"/>
    </xf>
    <xf numFmtId="38" fontId="12" fillId="33" borderId="0" xfId="49" applyFont="1" applyFill="1" applyAlignment="1">
      <alignment horizontal="right" vertical="center"/>
    </xf>
    <xf numFmtId="38" fontId="15" fillId="33" borderId="0" xfId="49" applyFont="1" applyFill="1" applyAlignment="1">
      <alignment vertical="center"/>
    </xf>
    <xf numFmtId="38" fontId="14" fillId="33" borderId="0" xfId="49" applyFont="1" applyFill="1" applyBorder="1" applyAlignment="1">
      <alignment vertical="center" wrapText="1"/>
    </xf>
    <xf numFmtId="38" fontId="12" fillId="33" borderId="0" xfId="49" applyFont="1" applyFill="1" applyBorder="1" applyAlignment="1">
      <alignment vertical="center"/>
    </xf>
    <xf numFmtId="38" fontId="12" fillId="33" borderId="0" xfId="49" applyFont="1" applyFill="1" applyBorder="1" applyAlignment="1">
      <alignment vertical="center"/>
    </xf>
    <xf numFmtId="38" fontId="12" fillId="33" borderId="0" xfId="49" applyFont="1" applyFill="1" applyAlignment="1">
      <alignment vertical="center" wrapText="1"/>
    </xf>
    <xf numFmtId="38" fontId="12" fillId="33" borderId="0" xfId="49" applyFont="1" applyFill="1" applyBorder="1" applyAlignment="1">
      <alignment horizontal="left" vertical="center" wrapText="1"/>
    </xf>
    <xf numFmtId="0" fontId="12" fillId="33" borderId="0" xfId="49" applyNumberFormat="1" applyFont="1" applyFill="1" applyBorder="1" applyAlignment="1">
      <alignment horizontal="left" vertical="center" wrapText="1"/>
    </xf>
    <xf numFmtId="38" fontId="8" fillId="33" borderId="0" xfId="49" applyFont="1" applyFill="1" applyAlignment="1">
      <alignment vertical="center"/>
    </xf>
    <xf numFmtId="38" fontId="12" fillId="33" borderId="0" xfId="49" applyFont="1" applyFill="1" applyBorder="1" applyAlignment="1">
      <alignment vertical="center" wrapText="1"/>
    </xf>
    <xf numFmtId="177" fontId="12" fillId="33" borderId="0" xfId="49" applyNumberFormat="1" applyFont="1" applyFill="1" applyAlignment="1">
      <alignment vertical="center"/>
    </xf>
    <xf numFmtId="38" fontId="4" fillId="34" borderId="0" xfId="49" applyFont="1" applyFill="1" applyAlignment="1">
      <alignment vertical="center"/>
    </xf>
    <xf numFmtId="0" fontId="17" fillId="34" borderId="0" xfId="0" applyFont="1" applyFill="1" applyAlignment="1">
      <alignment horizontal="left" vertical="center" indent="2"/>
    </xf>
    <xf numFmtId="38" fontId="7" fillId="34" borderId="0" xfId="49" applyFont="1" applyFill="1" applyAlignment="1">
      <alignment vertical="center"/>
    </xf>
    <xf numFmtId="38" fontId="4" fillId="34" borderId="0" xfId="49" applyFont="1" applyFill="1" applyBorder="1" applyAlignment="1">
      <alignment vertical="center"/>
    </xf>
    <xf numFmtId="38" fontId="14" fillId="33" borderId="0" xfId="49" applyFont="1" applyFill="1" applyBorder="1" applyAlignment="1">
      <alignment vertical="center"/>
    </xf>
    <xf numFmtId="38" fontId="12" fillId="35" borderId="0" xfId="49" applyFont="1" applyFill="1" applyAlignment="1">
      <alignment vertical="center"/>
    </xf>
    <xf numFmtId="38" fontId="12" fillId="35" borderId="10" xfId="49" applyFont="1" applyFill="1" applyBorder="1" applyAlignment="1">
      <alignment vertical="center"/>
    </xf>
    <xf numFmtId="38" fontId="12" fillId="35" borderId="0" xfId="49" applyFont="1" applyFill="1" applyAlignment="1">
      <alignment horizontal="right" vertical="center"/>
    </xf>
    <xf numFmtId="38" fontId="8" fillId="36" borderId="0" xfId="49" applyFont="1" applyFill="1" applyAlignment="1">
      <alignment vertical="center"/>
    </xf>
    <xf numFmtId="38" fontId="4" fillId="36" borderId="0" xfId="49" applyFont="1" applyFill="1" applyAlignment="1">
      <alignment vertical="center"/>
    </xf>
    <xf numFmtId="38" fontId="4" fillId="36" borderId="11" xfId="49" applyFont="1" applyFill="1" applyBorder="1" applyAlignment="1">
      <alignment vertical="center"/>
    </xf>
    <xf numFmtId="38" fontId="4" fillId="36" borderId="12" xfId="49" applyFont="1" applyFill="1" applyBorder="1" applyAlignment="1">
      <alignment vertical="center"/>
    </xf>
    <xf numFmtId="38" fontId="4" fillId="36" borderId="13" xfId="49" applyFont="1" applyFill="1" applyBorder="1" applyAlignment="1">
      <alignment vertical="center"/>
    </xf>
    <xf numFmtId="38" fontId="4" fillId="36" borderId="14" xfId="49" applyFont="1" applyFill="1" applyBorder="1" applyAlignment="1">
      <alignment horizontal="right" vertical="center"/>
    </xf>
    <xf numFmtId="38" fontId="4" fillId="36" borderId="15" xfId="49" applyFont="1" applyFill="1" applyBorder="1" applyAlignment="1">
      <alignment vertical="center"/>
    </xf>
    <xf numFmtId="38" fontId="3" fillId="36" borderId="16" xfId="49" applyFont="1" applyFill="1" applyBorder="1" applyAlignment="1">
      <alignment vertical="center"/>
    </xf>
    <xf numFmtId="38" fontId="4" fillId="36" borderId="10" xfId="49" applyFont="1" applyFill="1" applyBorder="1" applyAlignment="1">
      <alignment vertical="center"/>
    </xf>
    <xf numFmtId="38" fontId="4" fillId="36" borderId="16" xfId="49" applyFont="1" applyFill="1" applyBorder="1" applyAlignment="1">
      <alignment vertical="center"/>
    </xf>
    <xf numFmtId="38" fontId="4" fillId="36" borderId="0" xfId="49" applyFont="1" applyFill="1" applyBorder="1" applyAlignment="1">
      <alignment vertical="center"/>
    </xf>
    <xf numFmtId="38" fontId="4" fillId="36" borderId="14" xfId="49" applyFont="1" applyFill="1" applyBorder="1" applyAlignment="1">
      <alignment vertical="center"/>
    </xf>
    <xf numFmtId="38" fontId="4" fillId="36" borderId="17" xfId="49" applyFont="1" applyFill="1" applyBorder="1" applyAlignment="1">
      <alignment vertical="center"/>
    </xf>
    <xf numFmtId="38" fontId="9" fillId="36" borderId="18" xfId="49" applyFont="1" applyFill="1" applyBorder="1" applyAlignment="1">
      <alignment vertical="center"/>
    </xf>
    <xf numFmtId="38" fontId="9" fillId="36" borderId="19" xfId="49" applyFont="1" applyFill="1" applyBorder="1" applyAlignment="1">
      <alignment horizontal="center" vertical="center" wrapText="1"/>
    </xf>
    <xf numFmtId="38" fontId="4" fillId="36" borderId="20" xfId="49" applyFont="1" applyFill="1" applyBorder="1" applyAlignment="1">
      <alignment vertical="center"/>
    </xf>
    <xf numFmtId="38" fontId="4" fillId="36" borderId="21" xfId="49" applyFont="1" applyFill="1" applyBorder="1" applyAlignment="1">
      <alignment vertical="center"/>
    </xf>
    <xf numFmtId="38" fontId="4" fillId="36" borderId="22" xfId="49" applyFont="1" applyFill="1" applyBorder="1" applyAlignment="1">
      <alignment vertical="center"/>
    </xf>
    <xf numFmtId="38" fontId="4" fillId="36" borderId="10" xfId="49" applyFont="1" applyFill="1" applyBorder="1" applyAlignment="1">
      <alignment vertical="center" wrapText="1"/>
    </xf>
    <xf numFmtId="38" fontId="10" fillId="36" borderId="10" xfId="49" applyFont="1" applyFill="1" applyBorder="1" applyAlignment="1">
      <alignment vertical="center"/>
    </xf>
    <xf numFmtId="38" fontId="12" fillId="33" borderId="0" xfId="49" applyFont="1" applyFill="1" applyAlignment="1" applyProtection="1">
      <alignment vertical="center"/>
      <protection locked="0"/>
    </xf>
    <xf numFmtId="38" fontId="3" fillId="33" borderId="18" xfId="49" applyFont="1" applyFill="1" applyBorder="1" applyAlignment="1">
      <alignment vertical="center"/>
    </xf>
    <xf numFmtId="38" fontId="23" fillId="33" borderId="19" xfId="49" applyFont="1" applyFill="1" applyBorder="1" applyAlignment="1">
      <alignment horizontal="center" vertical="center" wrapText="1"/>
    </xf>
    <xf numFmtId="38" fontId="4" fillId="33" borderId="0" xfId="49" applyFont="1" applyFill="1" applyBorder="1" applyAlignment="1">
      <alignment vertical="center"/>
    </xf>
    <xf numFmtId="38" fontId="24" fillId="33" borderId="0" xfId="49" applyFont="1" applyFill="1" applyBorder="1" applyAlignment="1">
      <alignment horizontal="center" vertical="center"/>
    </xf>
    <xf numFmtId="38" fontId="4" fillId="33" borderId="0" xfId="49" applyFont="1" applyFill="1" applyBorder="1" applyAlignment="1">
      <alignment vertical="center"/>
    </xf>
    <xf numFmtId="38" fontId="3" fillId="33" borderId="18" xfId="49" applyFont="1" applyFill="1" applyBorder="1" applyAlignment="1">
      <alignment vertical="center"/>
    </xf>
    <xf numFmtId="38" fontId="4" fillId="33" borderId="10" xfId="49" applyFont="1" applyFill="1" applyBorder="1" applyAlignment="1">
      <alignment vertical="center"/>
    </xf>
    <xf numFmtId="38" fontId="4" fillId="33" borderId="10" xfId="49" applyFont="1" applyFill="1" applyBorder="1" applyAlignment="1">
      <alignment horizontal="right" vertical="center"/>
    </xf>
    <xf numFmtId="38" fontId="14" fillId="35" borderId="0" xfId="49" applyFont="1" applyFill="1" applyAlignment="1">
      <alignment vertical="center"/>
    </xf>
    <xf numFmtId="38" fontId="4" fillId="35" borderId="0" xfId="49" applyFont="1" applyFill="1" applyBorder="1" applyAlignment="1">
      <alignment vertical="center" wrapText="1"/>
    </xf>
    <xf numFmtId="38" fontId="12" fillId="35" borderId="0" xfId="49" applyFont="1" applyFill="1" applyBorder="1" applyAlignment="1">
      <alignment vertical="center"/>
    </xf>
    <xf numFmtId="38" fontId="14" fillId="35" borderId="0" xfId="49" applyFont="1" applyFill="1" applyBorder="1" applyAlignment="1">
      <alignment vertical="center" wrapText="1"/>
    </xf>
    <xf numFmtId="38" fontId="14" fillId="35" borderId="0" xfId="49" applyFont="1" applyFill="1" applyBorder="1" applyAlignment="1">
      <alignment vertical="center"/>
    </xf>
    <xf numFmtId="38" fontId="4" fillId="35" borderId="0" xfId="49" applyFont="1" applyFill="1" applyBorder="1" applyAlignment="1">
      <alignment vertical="center"/>
    </xf>
    <xf numFmtId="38" fontId="12" fillId="35" borderId="0" xfId="49" applyFont="1" applyFill="1" applyAlignment="1">
      <alignment vertical="center" wrapText="1"/>
    </xf>
    <xf numFmtId="38" fontId="12" fillId="35" borderId="0" xfId="49" applyFont="1" applyFill="1" applyBorder="1" applyAlignment="1">
      <alignment horizontal="left" vertical="center" wrapText="1"/>
    </xf>
    <xf numFmtId="38" fontId="12" fillId="35" borderId="0" xfId="49" applyFont="1" applyFill="1" applyBorder="1" applyAlignment="1">
      <alignment vertical="center" wrapText="1"/>
    </xf>
    <xf numFmtId="38" fontId="4" fillId="35" borderId="23" xfId="49" applyFont="1" applyFill="1" applyBorder="1" applyAlignment="1">
      <alignment vertical="center"/>
    </xf>
    <xf numFmtId="38" fontId="4" fillId="35" borderId="10" xfId="49" applyFont="1" applyFill="1" applyBorder="1" applyAlignment="1">
      <alignment vertical="center"/>
    </xf>
    <xf numFmtId="38" fontId="4" fillId="35" borderId="10" xfId="49" applyFont="1" applyFill="1" applyBorder="1" applyAlignment="1">
      <alignment vertical="center" wrapText="1"/>
    </xf>
    <xf numFmtId="38" fontId="12" fillId="33" borderId="24" xfId="49" applyFont="1" applyFill="1" applyBorder="1" applyAlignment="1">
      <alignment vertical="center" wrapText="1"/>
    </xf>
    <xf numFmtId="38" fontId="14" fillId="33" borderId="25" xfId="49" applyFont="1" applyFill="1" applyBorder="1" applyAlignment="1">
      <alignment vertical="center"/>
    </xf>
    <xf numFmtId="38" fontId="12" fillId="33" borderId="21" xfId="49" applyFont="1" applyFill="1" applyBorder="1" applyAlignment="1">
      <alignment vertical="center"/>
    </xf>
    <xf numFmtId="38" fontId="12" fillId="33" borderId="26" xfId="49" applyFont="1" applyFill="1" applyBorder="1" applyAlignment="1">
      <alignment vertical="center"/>
    </xf>
    <xf numFmtId="38" fontId="4" fillId="33" borderId="10" xfId="49" applyFont="1" applyFill="1" applyBorder="1" applyAlignment="1">
      <alignment horizontal="center" vertical="center"/>
    </xf>
    <xf numFmtId="38" fontId="4" fillId="33" borderId="10" xfId="49" applyFont="1" applyFill="1" applyBorder="1" applyAlignment="1">
      <alignment horizontal="center" vertical="center" wrapText="1"/>
    </xf>
    <xf numFmtId="0" fontId="4" fillId="33" borderId="10" xfId="49" applyNumberFormat="1" applyFont="1" applyFill="1" applyBorder="1" applyAlignment="1">
      <alignment horizontal="center" vertical="center" wrapText="1"/>
    </xf>
    <xf numFmtId="38" fontId="12" fillId="33" borderId="27" xfId="49" applyFont="1" applyFill="1" applyBorder="1" applyAlignment="1">
      <alignment horizontal="right" vertical="center"/>
    </xf>
    <xf numFmtId="38" fontId="12" fillId="33" borderId="28" xfId="49" applyFont="1" applyFill="1" applyBorder="1" applyAlignment="1">
      <alignment horizontal="right" vertical="center"/>
    </xf>
    <xf numFmtId="38" fontId="3" fillId="33" borderId="19" xfId="49" applyFont="1" applyFill="1" applyBorder="1" applyAlignment="1">
      <alignment vertical="center"/>
    </xf>
    <xf numFmtId="38" fontId="14" fillId="33" borderId="25" xfId="49" applyFont="1" applyFill="1" applyBorder="1" applyAlignment="1">
      <alignment vertical="center" wrapText="1"/>
    </xf>
    <xf numFmtId="38" fontId="14" fillId="33" borderId="26" xfId="49" applyFont="1" applyFill="1" applyBorder="1" applyAlignment="1">
      <alignment vertical="center"/>
    </xf>
    <xf numFmtId="38" fontId="12" fillId="33" borderId="29" xfId="49" applyFont="1" applyFill="1" applyBorder="1" applyAlignment="1">
      <alignment horizontal="right" vertical="center"/>
    </xf>
    <xf numFmtId="38" fontId="12" fillId="33" borderId="30" xfId="49" applyFont="1" applyFill="1" applyBorder="1" applyAlignment="1">
      <alignment vertical="center" wrapText="1"/>
    </xf>
    <xf numFmtId="38" fontId="14" fillId="33" borderId="31" xfId="49" applyFont="1" applyFill="1" applyBorder="1" applyAlignment="1">
      <alignment vertical="center" wrapText="1"/>
    </xf>
    <xf numFmtId="38" fontId="12" fillId="33" borderId="30" xfId="49" applyFont="1" applyFill="1" applyBorder="1" applyAlignment="1">
      <alignment vertical="center"/>
    </xf>
    <xf numFmtId="38" fontId="14" fillId="33" borderId="31" xfId="49" applyFont="1" applyFill="1" applyBorder="1" applyAlignment="1">
      <alignment vertical="center"/>
    </xf>
    <xf numFmtId="38" fontId="12" fillId="33" borderId="31" xfId="49" applyFont="1" applyFill="1" applyBorder="1" applyAlignment="1">
      <alignment vertical="center"/>
    </xf>
    <xf numFmtId="38" fontId="12" fillId="33" borderId="29" xfId="49" applyFont="1" applyFill="1" applyBorder="1" applyAlignment="1">
      <alignment vertical="center"/>
    </xf>
    <xf numFmtId="38" fontId="12" fillId="33" borderId="32" xfId="49" applyFont="1" applyFill="1" applyBorder="1" applyAlignment="1">
      <alignment horizontal="right" vertical="center"/>
    </xf>
    <xf numFmtId="38" fontId="4" fillId="36" borderId="0" xfId="49" applyFont="1" applyFill="1" applyAlignment="1">
      <alignment horizontal="right" vertical="center"/>
    </xf>
    <xf numFmtId="38" fontId="3" fillId="36" borderId="15" xfId="49" applyFont="1" applyFill="1" applyBorder="1" applyAlignment="1">
      <alignment vertical="center"/>
    </xf>
    <xf numFmtId="38" fontId="4" fillId="36" borderId="15" xfId="49" applyFont="1" applyFill="1" applyBorder="1" applyAlignment="1">
      <alignment horizontal="right" vertical="center"/>
    </xf>
    <xf numFmtId="177" fontId="4" fillId="36" borderId="15" xfId="49" applyNumberFormat="1" applyFont="1" applyFill="1" applyBorder="1" applyAlignment="1">
      <alignment horizontal="right" vertical="center"/>
    </xf>
    <xf numFmtId="178" fontId="4" fillId="36" borderId="15" xfId="49" applyNumberFormat="1" applyFont="1" applyFill="1" applyBorder="1" applyAlignment="1">
      <alignment horizontal="right" vertical="center"/>
    </xf>
    <xf numFmtId="38" fontId="9" fillId="36" borderId="15" xfId="49" applyFont="1" applyFill="1" applyBorder="1" applyAlignment="1">
      <alignment vertical="center" wrapText="1"/>
    </xf>
    <xf numFmtId="38" fontId="4" fillId="36" borderId="33" xfId="49" applyFont="1" applyFill="1" applyBorder="1" applyAlignment="1">
      <alignment vertical="center"/>
    </xf>
    <xf numFmtId="178" fontId="4" fillId="36" borderId="15" xfId="49" applyNumberFormat="1" applyFont="1" applyFill="1" applyBorder="1" applyAlignment="1">
      <alignment horizontal="center" vertical="center"/>
    </xf>
    <xf numFmtId="38" fontId="4" fillId="36" borderId="34" xfId="49" applyFont="1" applyFill="1" applyBorder="1" applyAlignment="1">
      <alignment horizontal="right" vertical="center"/>
    </xf>
    <xf numFmtId="38" fontId="4" fillId="36" borderId="35" xfId="49" applyFont="1" applyFill="1" applyBorder="1" applyAlignment="1">
      <alignment vertical="center"/>
    </xf>
    <xf numFmtId="38" fontId="10" fillId="36" borderId="0" xfId="49" applyFont="1" applyFill="1" applyBorder="1" applyAlignment="1">
      <alignment horizontal="center" vertical="center"/>
    </xf>
    <xf numFmtId="38" fontId="10" fillId="36" borderId="0" xfId="49" applyFont="1" applyFill="1" applyBorder="1" applyAlignment="1">
      <alignment vertical="center"/>
    </xf>
    <xf numFmtId="186" fontId="10" fillId="36" borderId="0" xfId="49" applyNumberFormat="1" applyFont="1" applyFill="1" applyBorder="1" applyAlignment="1">
      <alignment horizontal="center" vertical="center"/>
    </xf>
    <xf numFmtId="38" fontId="8" fillId="36" borderId="0" xfId="49" applyFont="1" applyFill="1" applyBorder="1" applyAlignment="1">
      <alignment vertical="center"/>
    </xf>
    <xf numFmtId="38" fontId="4" fillId="36" borderId="36" xfId="49" applyFont="1" applyFill="1" applyBorder="1" applyAlignment="1">
      <alignment horizontal="center" vertical="center" wrapText="1"/>
    </xf>
    <xf numFmtId="187" fontId="4" fillId="36" borderId="15" xfId="49" applyNumberFormat="1" applyFont="1" applyFill="1" applyBorder="1" applyAlignment="1">
      <alignment horizontal="right" vertical="center"/>
    </xf>
    <xf numFmtId="38" fontId="4" fillId="36" borderId="37" xfId="49" applyFont="1" applyFill="1" applyBorder="1" applyAlignment="1">
      <alignment horizontal="center" vertical="center"/>
    </xf>
    <xf numFmtId="38" fontId="4" fillId="36" borderId="38" xfId="49" applyFont="1" applyFill="1" applyBorder="1" applyAlignment="1">
      <alignment horizontal="center" vertical="center"/>
    </xf>
    <xf numFmtId="38" fontId="4" fillId="36" borderId="15" xfId="49" applyFont="1" applyFill="1" applyBorder="1" applyAlignment="1">
      <alignment horizontal="left" vertical="center"/>
    </xf>
    <xf numFmtId="186" fontId="4" fillId="36" borderId="15" xfId="49" applyNumberFormat="1" applyFont="1" applyFill="1" applyBorder="1" applyAlignment="1">
      <alignment horizontal="left" vertical="center"/>
    </xf>
    <xf numFmtId="187" fontId="4" fillId="36" borderId="15" xfId="49" applyNumberFormat="1" applyFont="1" applyFill="1" applyBorder="1" applyAlignment="1">
      <alignment horizontal="left" vertical="center"/>
    </xf>
    <xf numFmtId="38" fontId="10" fillId="36" borderId="0" xfId="49" applyFont="1" applyFill="1" applyBorder="1" applyAlignment="1">
      <alignment horizontal="right" vertical="center"/>
    </xf>
    <xf numFmtId="38" fontId="4" fillId="36" borderId="39" xfId="49" applyFont="1" applyFill="1" applyBorder="1" applyAlignment="1">
      <alignment vertical="center"/>
    </xf>
    <xf numFmtId="38" fontId="14" fillId="36" borderId="15" xfId="49" applyFont="1" applyFill="1" applyBorder="1" applyAlignment="1">
      <alignment vertical="center"/>
    </xf>
    <xf numFmtId="38" fontId="12" fillId="36" borderId="15" xfId="49" applyFont="1" applyFill="1" applyBorder="1" applyAlignment="1">
      <alignment vertical="center"/>
    </xf>
    <xf numFmtId="38" fontId="16" fillId="36" borderId="15" xfId="49" applyFont="1" applyFill="1" applyBorder="1" applyAlignment="1">
      <alignment vertical="center"/>
    </xf>
    <xf numFmtId="38" fontId="4" fillId="36" borderId="15" xfId="49" applyFont="1" applyFill="1" applyBorder="1" applyAlignment="1">
      <alignment vertical="center"/>
    </xf>
    <xf numFmtId="38" fontId="14" fillId="36" borderId="16" xfId="49" applyFont="1" applyFill="1" applyBorder="1" applyAlignment="1">
      <alignment vertical="center"/>
    </xf>
    <xf numFmtId="38" fontId="12" fillId="36" borderId="16" xfId="49" applyFont="1" applyFill="1" applyBorder="1" applyAlignment="1">
      <alignment vertical="center"/>
    </xf>
    <xf numFmtId="0" fontId="4" fillId="36" borderId="10" xfId="49" applyNumberFormat="1" applyFont="1" applyFill="1" applyBorder="1" applyAlignment="1">
      <alignment vertical="center" wrapText="1"/>
    </xf>
    <xf numFmtId="186" fontId="10" fillId="36" borderId="0" xfId="49" applyNumberFormat="1" applyFont="1" applyFill="1" applyBorder="1" applyAlignment="1">
      <alignment horizontal="center" vertical="center" wrapText="1"/>
    </xf>
    <xf numFmtId="186" fontId="4" fillId="36" borderId="15" xfId="49" applyNumberFormat="1" applyFont="1" applyFill="1" applyBorder="1" applyAlignment="1">
      <alignment horizontal="right" vertical="center"/>
    </xf>
    <xf numFmtId="38" fontId="4" fillId="36" borderId="0" xfId="49" applyFont="1" applyFill="1" applyBorder="1" applyAlignment="1">
      <alignment vertical="center" wrapText="1"/>
    </xf>
    <xf numFmtId="38" fontId="4" fillId="36" borderId="35" xfId="49" applyFont="1" applyFill="1" applyBorder="1" applyAlignment="1">
      <alignment vertical="center" wrapText="1"/>
    </xf>
    <xf numFmtId="38" fontId="4" fillId="36" borderId="20" xfId="49" applyFont="1" applyFill="1" applyBorder="1" applyAlignment="1">
      <alignment horizontal="right" vertical="center"/>
    </xf>
    <xf numFmtId="38" fontId="4" fillId="36" borderId="35" xfId="49" applyFont="1" applyFill="1" applyBorder="1" applyAlignment="1">
      <alignment horizontal="right" vertical="center"/>
    </xf>
    <xf numFmtId="38" fontId="4" fillId="36" borderId="27" xfId="49" applyFont="1" applyFill="1" applyBorder="1" applyAlignment="1">
      <alignment vertical="center"/>
    </xf>
    <xf numFmtId="38" fontId="4" fillId="36" borderId="24" xfId="49" applyFont="1" applyFill="1" applyBorder="1" applyAlignment="1">
      <alignment vertical="center"/>
    </xf>
    <xf numFmtId="38" fontId="4" fillId="36" borderId="25" xfId="49" applyFont="1" applyFill="1" applyBorder="1" applyAlignment="1">
      <alignment vertical="center"/>
    </xf>
    <xf numFmtId="38" fontId="4" fillId="36" borderId="17" xfId="49" applyFont="1" applyFill="1" applyBorder="1" applyAlignment="1">
      <alignment horizontal="right" vertical="center"/>
    </xf>
    <xf numFmtId="38" fontId="4" fillId="36" borderId="17" xfId="49" applyFont="1" applyFill="1" applyBorder="1" applyAlignment="1">
      <alignment vertical="center"/>
    </xf>
    <xf numFmtId="38" fontId="4" fillId="36" borderId="15" xfId="49" applyFont="1" applyFill="1" applyBorder="1" applyAlignment="1">
      <alignment horizontal="right" vertical="center" wrapText="1"/>
    </xf>
    <xf numFmtId="38" fontId="9" fillId="36" borderId="14" xfId="49" applyFont="1" applyFill="1" applyBorder="1" applyAlignment="1">
      <alignment vertical="center" wrapText="1"/>
    </xf>
    <xf numFmtId="38" fontId="12" fillId="33" borderId="10" xfId="49" applyFont="1" applyFill="1" applyBorder="1" applyAlignment="1" applyProtection="1">
      <alignment vertical="center"/>
      <protection locked="0"/>
    </xf>
    <xf numFmtId="38" fontId="25" fillId="36" borderId="0" xfId="49" applyFont="1" applyFill="1" applyBorder="1" applyAlignment="1">
      <alignment vertical="center"/>
    </xf>
    <xf numFmtId="38" fontId="8" fillId="36" borderId="0" xfId="49" applyFont="1" applyFill="1" applyBorder="1" applyAlignment="1">
      <alignment horizontal="center" vertical="center"/>
    </xf>
    <xf numFmtId="38" fontId="8" fillId="36" borderId="0" xfId="49" applyFont="1" applyFill="1" applyBorder="1" applyAlignment="1">
      <alignment horizontal="left" vertical="center"/>
    </xf>
    <xf numFmtId="38" fontId="11" fillId="36" borderId="0" xfId="49" applyFont="1" applyFill="1" applyAlignment="1">
      <alignment vertical="center"/>
    </xf>
    <xf numFmtId="38" fontId="3" fillId="36" borderId="0" xfId="49" applyFont="1" applyFill="1" applyBorder="1" applyAlignment="1">
      <alignment vertical="center"/>
    </xf>
    <xf numFmtId="38" fontId="14" fillId="36" borderId="0" xfId="49" applyFont="1" applyFill="1" applyBorder="1" applyAlignment="1">
      <alignment vertical="center"/>
    </xf>
    <xf numFmtId="38" fontId="12" fillId="36" borderId="0" xfId="49" applyFont="1" applyFill="1" applyBorder="1" applyAlignment="1">
      <alignment vertical="center"/>
    </xf>
    <xf numFmtId="38" fontId="4" fillId="34" borderId="0" xfId="49" applyFont="1" applyFill="1" applyAlignment="1" applyProtection="1">
      <alignment vertical="center"/>
      <protection/>
    </xf>
    <xf numFmtId="38" fontId="4" fillId="34" borderId="0" xfId="49" applyFont="1" applyFill="1" applyBorder="1" applyAlignment="1" applyProtection="1">
      <alignment vertical="center"/>
      <protection/>
    </xf>
    <xf numFmtId="38" fontId="10" fillId="34" borderId="0" xfId="49" applyFont="1" applyFill="1" applyAlignment="1" applyProtection="1">
      <alignment vertical="center"/>
      <protection/>
    </xf>
    <xf numFmtId="0" fontId="0" fillId="34" borderId="0" xfId="0" applyFill="1" applyAlignment="1" applyProtection="1">
      <alignment vertical="center"/>
      <protection/>
    </xf>
    <xf numFmtId="38" fontId="13" fillId="34" borderId="0" xfId="49" applyFont="1" applyFill="1" applyAlignment="1" applyProtection="1">
      <alignment vertical="center"/>
      <protection/>
    </xf>
    <xf numFmtId="38" fontId="26" fillId="34" borderId="0" xfId="49" applyFont="1" applyFill="1" applyAlignment="1" applyProtection="1">
      <alignment vertical="center"/>
      <protection/>
    </xf>
    <xf numFmtId="0" fontId="18" fillId="34" borderId="0" xfId="0" applyFont="1" applyFill="1" applyBorder="1" applyAlignment="1" applyProtection="1">
      <alignment horizontal="left" vertical="center"/>
      <protection/>
    </xf>
    <xf numFmtId="0" fontId="19" fillId="34" borderId="0" xfId="0" applyFont="1" applyFill="1" applyBorder="1" applyAlignment="1" applyProtection="1">
      <alignment horizontal="left" vertical="center"/>
      <protection/>
    </xf>
    <xf numFmtId="38" fontId="10" fillId="34" borderId="0" xfId="49" applyFont="1" applyFill="1" applyBorder="1" applyAlignment="1" applyProtection="1">
      <alignment horizontal="left" vertical="center"/>
      <protection/>
    </xf>
    <xf numFmtId="38" fontId="4" fillId="36" borderId="0" xfId="49" applyFont="1" applyFill="1" applyAlignment="1">
      <alignment horizontal="left" vertical="center"/>
    </xf>
    <xf numFmtId="38" fontId="4" fillId="33" borderId="18" xfId="49" applyFont="1" applyFill="1" applyBorder="1" applyAlignment="1">
      <alignment vertical="center"/>
    </xf>
    <xf numFmtId="38" fontId="4" fillId="36" borderId="18" xfId="49" applyFont="1" applyFill="1" applyBorder="1" applyAlignment="1">
      <alignment vertical="center" wrapText="1"/>
    </xf>
    <xf numFmtId="38" fontId="4" fillId="36" borderId="36" xfId="49" applyFont="1" applyFill="1" applyBorder="1" applyAlignment="1">
      <alignment vertical="center"/>
    </xf>
    <xf numFmtId="38" fontId="4" fillId="36" borderId="27" xfId="49" applyFont="1" applyFill="1" applyBorder="1" applyAlignment="1">
      <alignment horizontal="center" vertical="center"/>
    </xf>
    <xf numFmtId="38" fontId="4" fillId="36" borderId="28" xfId="49" applyFont="1" applyFill="1" applyBorder="1" applyAlignment="1">
      <alignment horizontal="center" vertical="center"/>
    </xf>
    <xf numFmtId="187" fontId="4" fillId="36" borderId="18" xfId="49" applyNumberFormat="1" applyFont="1" applyFill="1" applyBorder="1" applyAlignment="1">
      <alignment horizontal="right" vertical="center" wrapText="1"/>
    </xf>
    <xf numFmtId="38" fontId="14" fillId="36" borderId="15" xfId="49" applyFont="1" applyFill="1" applyBorder="1" applyAlignment="1">
      <alignment vertical="center"/>
    </xf>
    <xf numFmtId="187" fontId="4" fillId="36" borderId="0" xfId="49" applyNumberFormat="1" applyFont="1" applyFill="1" applyBorder="1" applyAlignment="1">
      <alignment horizontal="right" vertical="center"/>
    </xf>
    <xf numFmtId="178" fontId="4" fillId="36" borderId="0" xfId="49" applyNumberFormat="1" applyFont="1" applyFill="1" applyBorder="1" applyAlignment="1">
      <alignment horizontal="center" vertical="center"/>
    </xf>
    <xf numFmtId="38" fontId="12" fillId="33" borderId="40" xfId="49" applyFont="1" applyFill="1" applyBorder="1" applyAlignment="1">
      <alignment vertical="center" wrapText="1"/>
    </xf>
    <xf numFmtId="38" fontId="12" fillId="33" borderId="41" xfId="49" applyFont="1" applyFill="1" applyBorder="1" applyAlignment="1">
      <alignment vertical="center"/>
    </xf>
    <xf numFmtId="38" fontId="12" fillId="33" borderId="42" xfId="49" applyFont="1" applyFill="1" applyBorder="1" applyAlignment="1">
      <alignment vertical="center"/>
    </xf>
    <xf numFmtId="38" fontId="4" fillId="36" borderId="33" xfId="49" applyFont="1" applyFill="1" applyBorder="1" applyAlignment="1">
      <alignment horizontal="right" vertical="center"/>
    </xf>
    <xf numFmtId="38" fontId="9" fillId="36" borderId="19" xfId="49" applyFont="1" applyFill="1" applyBorder="1" applyAlignment="1">
      <alignment vertical="center"/>
    </xf>
    <xf numFmtId="178" fontId="4" fillId="36" borderId="19" xfId="49" applyNumberFormat="1" applyFont="1" applyFill="1" applyBorder="1" applyAlignment="1">
      <alignment horizontal="center" vertical="center" wrapText="1"/>
    </xf>
    <xf numFmtId="38" fontId="14" fillId="36" borderId="16" xfId="49" applyFont="1" applyFill="1" applyBorder="1" applyAlignment="1">
      <alignment vertical="center"/>
    </xf>
    <xf numFmtId="38" fontId="12" fillId="36" borderId="16" xfId="49" applyFont="1" applyFill="1" applyBorder="1" applyAlignment="1">
      <alignment vertical="center"/>
    </xf>
    <xf numFmtId="38" fontId="16" fillId="36" borderId="16" xfId="49" applyFont="1" applyFill="1" applyBorder="1" applyAlignment="1">
      <alignment vertical="center"/>
    </xf>
    <xf numFmtId="38" fontId="9" fillId="36" borderId="16" xfId="49" applyFont="1" applyFill="1" applyBorder="1" applyAlignment="1">
      <alignment vertical="center" wrapText="1"/>
    </xf>
    <xf numFmtId="38" fontId="4" fillId="36" borderId="19" xfId="49" applyFont="1" applyFill="1" applyBorder="1" applyAlignment="1">
      <alignment vertical="center"/>
    </xf>
    <xf numFmtId="38" fontId="4" fillId="36" borderId="0" xfId="49" applyFont="1" applyFill="1" applyBorder="1" applyAlignment="1">
      <alignment horizontal="center" vertical="center"/>
    </xf>
    <xf numFmtId="180" fontId="4" fillId="36" borderId="0" xfId="49" applyNumberFormat="1" applyFont="1" applyFill="1" applyBorder="1" applyAlignment="1">
      <alignment vertical="center" wrapText="1"/>
    </xf>
    <xf numFmtId="38" fontId="4" fillId="36" borderId="26" xfId="49" applyFont="1" applyFill="1" applyBorder="1" applyAlignment="1">
      <alignment vertical="center"/>
    </xf>
    <xf numFmtId="38" fontId="4" fillId="36" borderId="0" xfId="49" applyFont="1" applyFill="1" applyBorder="1" applyAlignment="1">
      <alignment horizontal="center" vertical="center" wrapText="1"/>
    </xf>
    <xf numFmtId="38" fontId="12" fillId="33" borderId="19" xfId="49" applyFont="1" applyFill="1" applyBorder="1" applyAlignment="1">
      <alignment vertical="center"/>
    </xf>
    <xf numFmtId="38" fontId="12" fillId="33" borderId="43" xfId="49" applyFont="1" applyFill="1" applyBorder="1" applyAlignment="1">
      <alignment vertical="center"/>
    </xf>
    <xf numFmtId="38" fontId="12" fillId="33" borderId="44" xfId="49" applyFont="1" applyFill="1" applyBorder="1" applyAlignment="1">
      <alignment vertical="center"/>
    </xf>
    <xf numFmtId="38" fontId="12" fillId="33" borderId="45" xfId="49" applyFont="1" applyFill="1" applyBorder="1" applyAlignment="1">
      <alignment vertical="center"/>
    </xf>
    <xf numFmtId="38" fontId="12" fillId="33" borderId="41" xfId="49" applyFont="1" applyFill="1" applyBorder="1" applyAlignment="1">
      <alignment vertical="center"/>
    </xf>
    <xf numFmtId="38" fontId="12" fillId="33" borderId="41" xfId="49" applyFont="1" applyFill="1" applyBorder="1" applyAlignment="1">
      <alignment horizontal="left" vertical="center"/>
    </xf>
    <xf numFmtId="38" fontId="12" fillId="33" borderId="46" xfId="49" applyFont="1" applyFill="1" applyBorder="1" applyAlignment="1">
      <alignment vertical="center"/>
    </xf>
    <xf numFmtId="38" fontId="12" fillId="36" borderId="15" xfId="49" applyFont="1" applyFill="1" applyBorder="1" applyAlignment="1">
      <alignment vertical="center"/>
    </xf>
    <xf numFmtId="38" fontId="4" fillId="36" borderId="33" xfId="49" applyFont="1" applyFill="1" applyBorder="1" applyAlignment="1">
      <alignment vertical="center"/>
    </xf>
    <xf numFmtId="38" fontId="4" fillId="36" borderId="47" xfId="49" applyFont="1" applyFill="1" applyBorder="1" applyAlignment="1">
      <alignment horizontal="right" vertical="center"/>
    </xf>
    <xf numFmtId="38" fontId="12" fillId="35" borderId="10" xfId="49" applyFont="1" applyFill="1" applyBorder="1" applyAlignment="1" applyProtection="1">
      <alignment vertical="center"/>
      <protection locked="0"/>
    </xf>
    <xf numFmtId="177" fontId="4" fillId="36" borderId="17" xfId="49" applyNumberFormat="1" applyFont="1" applyFill="1" applyBorder="1" applyAlignment="1">
      <alignment horizontal="right" vertical="center"/>
    </xf>
    <xf numFmtId="38" fontId="4" fillId="36" borderId="15" xfId="49" applyFont="1" applyFill="1" applyBorder="1" applyAlignment="1">
      <alignment vertical="center"/>
    </xf>
    <xf numFmtId="38" fontId="10" fillId="34" borderId="0" xfId="49" applyFont="1" applyFill="1" applyAlignment="1" applyProtection="1">
      <alignment vertical="top" wrapText="1"/>
      <protection/>
    </xf>
    <xf numFmtId="0" fontId="21" fillId="34" borderId="0" xfId="0" applyFont="1" applyFill="1" applyBorder="1" applyAlignment="1" applyProtection="1">
      <alignment vertical="center" wrapText="1"/>
      <protection/>
    </xf>
    <xf numFmtId="38" fontId="27" fillId="34" borderId="48" xfId="49" applyFont="1" applyFill="1" applyBorder="1" applyAlignment="1" applyProtection="1">
      <alignment horizontal="center" vertical="center"/>
      <protection/>
    </xf>
    <xf numFmtId="38" fontId="20" fillId="34" borderId="0" xfId="49" applyFont="1" applyFill="1" applyAlignment="1" applyProtection="1">
      <alignment horizontal="left" vertical="top" wrapText="1"/>
      <protection/>
    </xf>
    <xf numFmtId="38" fontId="10" fillId="34" borderId="0" xfId="49" applyFont="1" applyFill="1" applyAlignment="1" applyProtection="1">
      <alignment vertical="center"/>
      <protection/>
    </xf>
    <xf numFmtId="38" fontId="10" fillId="34" borderId="0" xfId="49" applyFont="1" applyFill="1" applyAlignment="1" applyProtection="1">
      <alignment vertical="center" wrapText="1"/>
      <protection/>
    </xf>
    <xf numFmtId="38" fontId="12" fillId="33" borderId="30" xfId="49" applyFont="1" applyFill="1" applyBorder="1" applyAlignment="1">
      <alignment vertical="center" wrapText="1"/>
    </xf>
    <xf numFmtId="38" fontId="12" fillId="33" borderId="42" xfId="49" applyFont="1" applyFill="1" applyBorder="1" applyAlignment="1">
      <alignment vertical="center" wrapText="1"/>
    </xf>
    <xf numFmtId="38" fontId="3" fillId="33" borderId="19" xfId="49" applyFont="1" applyFill="1" applyBorder="1" applyAlignment="1">
      <alignment vertical="center" wrapText="1"/>
    </xf>
    <xf numFmtId="38" fontId="3" fillId="33" borderId="36" xfId="49" applyFont="1" applyFill="1" applyBorder="1" applyAlignment="1">
      <alignment vertical="center" wrapText="1"/>
    </xf>
    <xf numFmtId="38" fontId="12" fillId="33" borderId="30" xfId="49" applyFont="1" applyFill="1" applyBorder="1" applyAlignment="1">
      <alignment vertical="center"/>
    </xf>
    <xf numFmtId="38" fontId="12" fillId="33" borderId="42" xfId="49" applyFont="1" applyFill="1" applyBorder="1" applyAlignment="1">
      <alignment vertical="center"/>
    </xf>
    <xf numFmtId="187" fontId="22" fillId="0" borderId="30" xfId="49" applyNumberFormat="1" applyFont="1" applyFill="1" applyBorder="1" applyAlignment="1" applyProtection="1">
      <alignment vertical="center" wrapText="1"/>
      <protection locked="0"/>
    </xf>
    <xf numFmtId="177" fontId="4" fillId="33" borderId="18" xfId="49" applyNumberFormat="1" applyFont="1" applyFill="1" applyBorder="1" applyAlignment="1">
      <alignment vertical="center"/>
    </xf>
    <xf numFmtId="177" fontId="4" fillId="33" borderId="36" xfId="49" applyNumberFormat="1" applyFont="1" applyFill="1" applyBorder="1" applyAlignment="1">
      <alignment vertical="center"/>
    </xf>
    <xf numFmtId="38" fontId="4" fillId="33" borderId="18" xfId="49" applyFont="1" applyFill="1" applyBorder="1" applyAlignment="1">
      <alignment horizontal="center" vertical="center" wrapText="1"/>
    </xf>
    <xf numFmtId="38" fontId="4" fillId="33" borderId="36" xfId="49" applyFont="1" applyFill="1" applyBorder="1" applyAlignment="1">
      <alignment horizontal="center" vertical="center" wrapText="1"/>
    </xf>
    <xf numFmtId="38" fontId="12" fillId="33" borderId="24" xfId="49" applyFont="1" applyFill="1" applyBorder="1" applyAlignment="1">
      <alignment vertical="center" wrapText="1"/>
    </xf>
    <xf numFmtId="38" fontId="12" fillId="33" borderId="49" xfId="49" applyFont="1" applyFill="1" applyBorder="1" applyAlignment="1">
      <alignment vertical="center" wrapText="1"/>
    </xf>
    <xf numFmtId="38" fontId="12" fillId="0" borderId="30" xfId="49" applyFont="1" applyFill="1" applyBorder="1" applyAlignment="1" applyProtection="1">
      <alignment horizontal="right" vertical="center"/>
      <protection locked="0"/>
    </xf>
    <xf numFmtId="38" fontId="12" fillId="36" borderId="43" xfId="49" applyFont="1" applyFill="1" applyBorder="1" applyAlignment="1">
      <alignment horizontal="right" vertical="center" wrapText="1"/>
    </xf>
    <xf numFmtId="38" fontId="12" fillId="36" borderId="30" xfId="49" applyFont="1" applyFill="1" applyBorder="1" applyAlignment="1">
      <alignment horizontal="right" vertical="center" wrapText="1"/>
    </xf>
    <xf numFmtId="186" fontId="22" fillId="0" borderId="30" xfId="49" applyNumberFormat="1" applyFont="1" applyFill="1" applyBorder="1" applyAlignment="1" applyProtection="1">
      <alignment vertical="center" wrapText="1"/>
      <protection locked="0"/>
    </xf>
    <xf numFmtId="186" fontId="12" fillId="33" borderId="30" xfId="49" applyNumberFormat="1" applyFont="1" applyFill="1" applyBorder="1" applyAlignment="1">
      <alignment vertical="center" wrapText="1"/>
    </xf>
    <xf numFmtId="188" fontId="22" fillId="0" borderId="44" xfId="49" applyNumberFormat="1" applyFont="1" applyFill="1" applyBorder="1" applyAlignment="1" applyProtection="1">
      <alignment vertical="center" wrapText="1"/>
      <protection locked="0"/>
    </xf>
    <xf numFmtId="38" fontId="12" fillId="33" borderId="30" xfId="49" applyFont="1" applyFill="1" applyBorder="1" applyAlignment="1">
      <alignment horizontal="left" vertical="center" wrapText="1"/>
    </xf>
    <xf numFmtId="38" fontId="12" fillId="33" borderId="42" xfId="49" applyFont="1" applyFill="1" applyBorder="1" applyAlignment="1">
      <alignment horizontal="left" vertical="center" wrapText="1"/>
    </xf>
    <xf numFmtId="38" fontId="12" fillId="33" borderId="21" xfId="49" applyFont="1" applyFill="1" applyBorder="1" applyAlignment="1">
      <alignment vertical="center"/>
    </xf>
    <xf numFmtId="38" fontId="12" fillId="33" borderId="50" xfId="49" applyFont="1" applyFill="1" applyBorder="1" applyAlignment="1">
      <alignment vertical="center"/>
    </xf>
    <xf numFmtId="178" fontId="12" fillId="33" borderId="30" xfId="49" applyNumberFormat="1" applyFont="1" applyFill="1" applyBorder="1" applyAlignment="1">
      <alignment vertical="center" wrapText="1"/>
    </xf>
    <xf numFmtId="177" fontId="12" fillId="33" borderId="46" xfId="49" applyNumberFormat="1" applyFont="1" applyFill="1" applyBorder="1" applyAlignment="1">
      <alignment vertical="center"/>
    </xf>
    <xf numFmtId="177" fontId="12" fillId="33" borderId="50" xfId="49" applyNumberFormat="1" applyFont="1" applyFill="1" applyBorder="1" applyAlignment="1">
      <alignment vertical="center"/>
    </xf>
    <xf numFmtId="186" fontId="12" fillId="33" borderId="41" xfId="49" applyNumberFormat="1" applyFont="1" applyFill="1" applyBorder="1" applyAlignment="1">
      <alignment horizontal="right" vertical="center"/>
    </xf>
    <xf numFmtId="186" fontId="12" fillId="33" borderId="42" xfId="49" applyNumberFormat="1" applyFont="1" applyFill="1" applyBorder="1" applyAlignment="1">
      <alignment horizontal="right" vertical="center"/>
    </xf>
    <xf numFmtId="38" fontId="12" fillId="33" borderId="51" xfId="49" applyFont="1" applyFill="1" applyBorder="1" applyAlignment="1">
      <alignment vertical="center" wrapText="1"/>
    </xf>
    <xf numFmtId="38" fontId="12" fillId="35" borderId="10" xfId="49" applyFont="1" applyFill="1" applyBorder="1" applyAlignment="1">
      <alignment vertical="center" wrapText="1"/>
    </xf>
    <xf numFmtId="38" fontId="12" fillId="0" borderId="45" xfId="49" applyFont="1" applyFill="1" applyBorder="1" applyAlignment="1">
      <alignment horizontal="right" vertical="center"/>
    </xf>
    <xf numFmtId="38" fontId="12" fillId="0" borderId="49" xfId="49" applyFont="1" applyFill="1" applyBorder="1" applyAlignment="1">
      <alignment horizontal="right" vertical="center"/>
    </xf>
    <xf numFmtId="187" fontId="12" fillId="33" borderId="41" xfId="49" applyNumberFormat="1" applyFont="1" applyFill="1" applyBorder="1" applyAlignment="1">
      <alignment horizontal="right" vertical="center" wrapText="1"/>
    </xf>
    <xf numFmtId="187" fontId="12" fillId="33" borderId="42" xfId="49" applyNumberFormat="1" applyFont="1" applyFill="1" applyBorder="1" applyAlignment="1">
      <alignment horizontal="right" vertical="center" wrapText="1"/>
    </xf>
    <xf numFmtId="38" fontId="12" fillId="33" borderId="41" xfId="49" applyFont="1" applyFill="1" applyBorder="1" applyAlignment="1">
      <alignment horizontal="right" vertical="center" wrapText="1"/>
    </xf>
    <xf numFmtId="38" fontId="12" fillId="33" borderId="42" xfId="49" applyFont="1" applyFill="1" applyBorder="1" applyAlignment="1">
      <alignment horizontal="right" vertical="center" wrapText="1"/>
    </xf>
    <xf numFmtId="187" fontId="22" fillId="0" borderId="41" xfId="49" applyNumberFormat="1" applyFont="1" applyFill="1" applyBorder="1" applyAlignment="1" applyProtection="1">
      <alignment horizontal="right" vertical="center"/>
      <protection locked="0"/>
    </xf>
    <xf numFmtId="187" fontId="22" fillId="0" borderId="42" xfId="49" applyNumberFormat="1" applyFont="1" applyFill="1" applyBorder="1" applyAlignment="1" applyProtection="1">
      <alignment horizontal="right" vertical="center"/>
      <protection locked="0"/>
    </xf>
    <xf numFmtId="186" fontId="22" fillId="0" borderId="41" xfId="49" applyNumberFormat="1" applyFont="1" applyFill="1" applyBorder="1" applyAlignment="1" applyProtection="1">
      <alignment horizontal="right" vertical="center"/>
      <protection locked="0"/>
    </xf>
    <xf numFmtId="186" fontId="22" fillId="0" borderId="42" xfId="49" applyNumberFormat="1" applyFont="1" applyFill="1" applyBorder="1" applyAlignment="1" applyProtection="1">
      <alignment horizontal="right" vertical="center"/>
      <protection locked="0"/>
    </xf>
    <xf numFmtId="177" fontId="4" fillId="33" borderId="10" xfId="49" applyNumberFormat="1" applyFont="1" applyFill="1" applyBorder="1" applyAlignment="1">
      <alignment vertical="center"/>
    </xf>
    <xf numFmtId="38" fontId="12" fillId="0" borderId="41" xfId="49" applyFont="1" applyFill="1" applyBorder="1" applyAlignment="1">
      <alignment horizontal="right" vertical="center"/>
    </xf>
    <xf numFmtId="38" fontId="12" fillId="0" borderId="42" xfId="49" applyFont="1" applyFill="1" applyBorder="1" applyAlignment="1">
      <alignment horizontal="right" vertical="center"/>
    </xf>
    <xf numFmtId="38" fontId="4" fillId="33" borderId="10" xfId="49" applyFont="1" applyFill="1" applyBorder="1" applyAlignment="1">
      <alignment horizontal="center" vertical="center"/>
    </xf>
    <xf numFmtId="177" fontId="12" fillId="33" borderId="41" xfId="49" applyNumberFormat="1" applyFont="1" applyFill="1" applyBorder="1" applyAlignment="1">
      <alignment vertical="center"/>
    </xf>
    <xf numFmtId="177" fontId="12" fillId="33" borderId="42" xfId="49" applyNumberFormat="1" applyFont="1" applyFill="1" applyBorder="1" applyAlignment="1">
      <alignment vertical="center"/>
    </xf>
    <xf numFmtId="38" fontId="14" fillId="36" borderId="15" xfId="49" applyFont="1" applyFill="1" applyBorder="1" applyAlignment="1">
      <alignment vertical="center"/>
    </xf>
    <xf numFmtId="38" fontId="14" fillId="36" borderId="16" xfId="49" applyFont="1" applyFill="1" applyBorder="1" applyAlignment="1">
      <alignment vertical="center"/>
    </xf>
    <xf numFmtId="38" fontId="4" fillId="36" borderId="15" xfId="49" applyFont="1" applyFill="1" applyBorder="1" applyAlignment="1">
      <alignment vertical="center"/>
    </xf>
    <xf numFmtId="38" fontId="4" fillId="36" borderId="16" xfId="49" applyFont="1" applyFill="1" applyBorder="1" applyAlignment="1">
      <alignment vertical="center"/>
    </xf>
    <xf numFmtId="38" fontId="12" fillId="36" borderId="15" xfId="49" applyFont="1" applyFill="1" applyBorder="1" applyAlignment="1">
      <alignment vertical="center"/>
    </xf>
    <xf numFmtId="38" fontId="12" fillId="36" borderId="16" xfId="49" applyFont="1" applyFill="1" applyBorder="1" applyAlignment="1">
      <alignment vertical="center"/>
    </xf>
    <xf numFmtId="38" fontId="10" fillId="36" borderId="18" xfId="49" applyFont="1" applyFill="1" applyBorder="1" applyAlignment="1">
      <alignment vertical="center"/>
    </xf>
    <xf numFmtId="38" fontId="10" fillId="36" borderId="36" xfId="49" applyFont="1" applyFill="1" applyBorder="1" applyAlignment="1">
      <alignment vertical="center"/>
    </xf>
    <xf numFmtId="38" fontId="4" fillId="36" borderId="28" xfId="49" applyFont="1" applyFill="1" applyBorder="1" applyAlignment="1">
      <alignment horizontal="center" vertical="center"/>
    </xf>
    <xf numFmtId="38" fontId="4" fillId="36" borderId="26" xfId="49" applyFont="1" applyFill="1" applyBorder="1" applyAlignment="1">
      <alignment horizontal="center" vertical="center"/>
    </xf>
    <xf numFmtId="38" fontId="4" fillId="36" borderId="15" xfId="49" applyFont="1" applyFill="1" applyBorder="1" applyAlignment="1">
      <alignment vertical="center" wrapText="1"/>
    </xf>
    <xf numFmtId="38" fontId="4" fillId="36" borderId="11" xfId="49" applyFont="1" applyFill="1" applyBorder="1" applyAlignment="1">
      <alignment horizontal="center" vertical="center"/>
    </xf>
    <xf numFmtId="38" fontId="4" fillId="36" borderId="13" xfId="49" applyFont="1" applyFill="1" applyBorder="1" applyAlignment="1">
      <alignment horizontal="center" vertical="center"/>
    </xf>
    <xf numFmtId="38" fontId="4" fillId="36" borderId="18" xfId="49" applyFont="1" applyFill="1" applyBorder="1" applyAlignment="1">
      <alignment horizontal="center" vertical="center"/>
    </xf>
    <xf numFmtId="38" fontId="4" fillId="36" borderId="36" xfId="49" applyFont="1" applyFill="1" applyBorder="1" applyAlignment="1">
      <alignment horizontal="center" vertical="center"/>
    </xf>
    <xf numFmtId="38" fontId="4" fillId="36" borderId="52" xfId="49" applyFont="1" applyFill="1" applyBorder="1" applyAlignment="1">
      <alignment horizontal="center" vertical="center"/>
    </xf>
    <xf numFmtId="38" fontId="4" fillId="36" borderId="53" xfId="49" applyFont="1" applyFill="1" applyBorder="1" applyAlignment="1">
      <alignment horizontal="center" vertical="center"/>
    </xf>
    <xf numFmtId="38" fontId="4" fillId="36" borderId="18" xfId="49" applyFont="1" applyFill="1" applyBorder="1" applyAlignment="1">
      <alignment vertical="center"/>
    </xf>
    <xf numFmtId="38" fontId="4" fillId="36" borderId="36" xfId="49" applyFont="1" applyFill="1" applyBorder="1" applyAlignment="1">
      <alignment vertical="center"/>
    </xf>
    <xf numFmtId="38" fontId="4" fillId="36" borderId="23" xfId="49" applyFont="1" applyFill="1" applyBorder="1" applyAlignment="1">
      <alignment horizontal="center" vertical="center"/>
    </xf>
    <xf numFmtId="38" fontId="4" fillId="36" borderId="38" xfId="49" applyFont="1" applyFill="1" applyBorder="1" applyAlignment="1">
      <alignment horizontal="center" vertical="center"/>
    </xf>
    <xf numFmtId="38" fontId="4" fillId="36" borderId="35" xfId="49" applyFont="1" applyFill="1" applyBorder="1" applyAlignment="1">
      <alignment vertical="center"/>
    </xf>
    <xf numFmtId="38" fontId="4" fillId="36" borderId="22" xfId="49" applyFont="1" applyFill="1" applyBorder="1" applyAlignment="1">
      <alignment vertical="center"/>
    </xf>
    <xf numFmtId="38" fontId="4" fillId="36" borderId="27" xfId="49" applyFont="1" applyFill="1" applyBorder="1" applyAlignment="1">
      <alignment horizontal="center" vertical="center"/>
    </xf>
    <xf numFmtId="38" fontId="4" fillId="36" borderId="25" xfId="49" applyFont="1" applyFill="1" applyBorder="1" applyAlignment="1">
      <alignment horizontal="center" vertical="center"/>
    </xf>
    <xf numFmtId="38" fontId="4" fillId="36" borderId="12" xfId="49" applyFont="1" applyFill="1" applyBorder="1" applyAlignment="1">
      <alignment vertical="center"/>
    </xf>
    <xf numFmtId="38" fontId="4" fillId="36" borderId="13" xfId="49" applyFont="1" applyFill="1" applyBorder="1" applyAlignment="1">
      <alignment vertical="center"/>
    </xf>
    <xf numFmtId="38" fontId="3" fillId="36" borderId="15" xfId="49" applyFont="1" applyFill="1" applyBorder="1" applyAlignment="1">
      <alignment horizontal="left" vertical="center"/>
    </xf>
    <xf numFmtId="38" fontId="3" fillId="36" borderId="16" xfId="49" applyFont="1" applyFill="1" applyBorder="1" applyAlignment="1">
      <alignment horizontal="left" vertical="center"/>
    </xf>
    <xf numFmtId="38" fontId="9" fillId="36" borderId="19" xfId="49" applyFont="1" applyFill="1" applyBorder="1" applyAlignment="1">
      <alignment vertical="center" wrapText="1"/>
    </xf>
    <xf numFmtId="38" fontId="9" fillId="36" borderId="36" xfId="49" applyFont="1" applyFill="1" applyBorder="1" applyAlignment="1">
      <alignment vertical="center" wrapText="1"/>
    </xf>
    <xf numFmtId="38" fontId="14" fillId="36" borderId="15" xfId="49" applyFont="1" applyFill="1" applyBorder="1" applyAlignment="1">
      <alignment horizontal="left" vertical="center"/>
    </xf>
    <xf numFmtId="38" fontId="14" fillId="36" borderId="16" xfId="49" applyFont="1" applyFill="1" applyBorder="1" applyAlignment="1">
      <alignment horizontal="left" vertical="center"/>
    </xf>
    <xf numFmtId="38" fontId="4" fillId="36" borderId="20" xfId="49" applyFont="1" applyFill="1" applyBorder="1" applyAlignment="1">
      <alignment horizontal="center" vertical="center"/>
    </xf>
    <xf numFmtId="38" fontId="4" fillId="36" borderId="22" xfId="49" applyFont="1" applyFill="1" applyBorder="1" applyAlignment="1">
      <alignment horizontal="center" vertical="center"/>
    </xf>
    <xf numFmtId="38" fontId="4" fillId="36" borderId="18" xfId="49" applyFont="1" applyFill="1" applyBorder="1" applyAlignment="1">
      <alignment vertical="center" wrapText="1"/>
    </xf>
    <xf numFmtId="38" fontId="4" fillId="36" borderId="36" xfId="49" applyFont="1" applyFill="1" applyBorder="1" applyAlignment="1">
      <alignment vertical="center" wrapText="1"/>
    </xf>
    <xf numFmtId="38" fontId="14" fillId="36" borderId="15" xfId="49" applyFont="1" applyFill="1" applyBorder="1" applyAlignment="1">
      <alignment vertical="center"/>
    </xf>
    <xf numFmtId="38" fontId="14" fillId="36" borderId="16" xfId="49" applyFont="1" applyFill="1" applyBorder="1" applyAlignment="1">
      <alignment vertical="center"/>
    </xf>
    <xf numFmtId="38" fontId="4" fillId="36" borderId="15" xfId="49" applyFont="1" applyFill="1" applyBorder="1" applyAlignment="1">
      <alignment vertical="center" wrapText="1"/>
    </xf>
    <xf numFmtId="187" fontId="4" fillId="36" borderId="15" xfId="49" applyNumberFormat="1" applyFont="1" applyFill="1" applyBorder="1" applyAlignment="1">
      <alignment horizontal="right" vertical="center"/>
    </xf>
    <xf numFmtId="38" fontId="10" fillId="36" borderId="0" xfId="49" applyFont="1" applyFill="1" applyBorder="1" applyAlignment="1">
      <alignment horizontal="center" vertical="center"/>
    </xf>
    <xf numFmtId="38" fontId="8" fillId="36" borderId="0" xfId="49" applyFont="1" applyFill="1" applyBorder="1" applyAlignment="1">
      <alignment horizontal="center" vertical="center"/>
    </xf>
    <xf numFmtId="179" fontId="4" fillId="36" borderId="18" xfId="49" applyNumberFormat="1" applyFont="1" applyFill="1" applyBorder="1" applyAlignment="1">
      <alignment horizontal="left" vertical="center" wrapText="1"/>
    </xf>
    <xf numFmtId="179" fontId="4" fillId="36" borderId="36" xfId="49" applyNumberFormat="1" applyFont="1" applyFill="1" applyBorder="1" applyAlignment="1">
      <alignment horizontal="left" vertical="center" wrapText="1"/>
    </xf>
    <xf numFmtId="180" fontId="4" fillId="36" borderId="18" xfId="49" applyNumberFormat="1" applyFont="1" applyFill="1" applyBorder="1" applyAlignment="1">
      <alignment vertical="center" wrapText="1"/>
    </xf>
    <xf numFmtId="180" fontId="4" fillId="36" borderId="36" xfId="49" applyNumberFormat="1" applyFont="1" applyFill="1" applyBorder="1" applyAlignment="1">
      <alignment vertical="center" wrapText="1"/>
    </xf>
    <xf numFmtId="38" fontId="4" fillId="36" borderId="24" xfId="49" applyFont="1" applyFill="1" applyBorder="1" applyAlignment="1">
      <alignment vertical="top" wrapText="1"/>
    </xf>
    <xf numFmtId="38" fontId="4" fillId="36" borderId="0" xfId="49" applyFont="1" applyFill="1" applyBorder="1" applyAlignment="1">
      <alignment vertical="top" wrapText="1"/>
    </xf>
    <xf numFmtId="38" fontId="9" fillId="36" borderId="18" xfId="49" applyFont="1" applyFill="1" applyBorder="1" applyAlignment="1">
      <alignment vertical="center"/>
    </xf>
    <xf numFmtId="38" fontId="9" fillId="36" borderId="19" xfId="49" applyFont="1" applyFill="1" applyBorder="1" applyAlignment="1">
      <alignment vertical="center"/>
    </xf>
    <xf numFmtId="188" fontId="4" fillId="36" borderId="15" xfId="49" applyNumberFormat="1" applyFont="1" applyFill="1" applyBorder="1" applyAlignment="1">
      <alignment vertical="center"/>
    </xf>
    <xf numFmtId="38" fontId="4" fillId="36" borderId="15" xfId="49" applyFont="1" applyFill="1" applyBorder="1" applyAlignment="1">
      <alignment horizontal="right" vertical="center" wrapText="1"/>
    </xf>
    <xf numFmtId="38" fontId="9" fillId="36" borderId="19" xfId="49" applyFont="1" applyFill="1" applyBorder="1" applyAlignment="1">
      <alignment horizontal="left" vertical="center" wrapText="1"/>
    </xf>
    <xf numFmtId="38" fontId="10" fillId="36" borderId="18" xfId="49" applyFont="1" applyFill="1" applyBorder="1" applyAlignment="1">
      <alignment horizontal="right" vertical="center"/>
    </xf>
    <xf numFmtId="38" fontId="10" fillId="36" borderId="19" xfId="49" applyFont="1" applyFill="1" applyBorder="1" applyAlignment="1">
      <alignment horizontal="right" vertical="center"/>
    </xf>
    <xf numFmtId="38" fontId="10" fillId="36" borderId="36" xfId="49" applyFont="1" applyFill="1" applyBorder="1" applyAlignment="1">
      <alignment horizontal="right" vertical="center"/>
    </xf>
    <xf numFmtId="38" fontId="4" fillId="36" borderId="10" xfId="49" applyFont="1" applyFill="1" applyBorder="1" applyAlignment="1">
      <alignment vertical="center"/>
    </xf>
    <xf numFmtId="38" fontId="4" fillId="36" borderId="10" xfId="49" applyFont="1" applyFill="1" applyBorder="1" applyAlignment="1">
      <alignment vertical="center" wrapText="1"/>
    </xf>
    <xf numFmtId="38" fontId="4" fillId="36" borderId="19" xfId="49" applyFont="1" applyFill="1" applyBorder="1" applyAlignment="1">
      <alignment horizontal="center" vertical="center"/>
    </xf>
    <xf numFmtId="38" fontId="4" fillId="36" borderId="54" xfId="49" applyFont="1" applyFill="1" applyBorder="1" applyAlignment="1">
      <alignment horizontal="center" vertical="center"/>
    </xf>
    <xf numFmtId="38" fontId="4" fillId="36" borderId="19" xfId="49"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381000</xdr:colOff>
      <xdr:row>16</xdr:row>
      <xdr:rowOff>76200</xdr:rowOff>
    </xdr:from>
    <xdr:to>
      <xdr:col>2</xdr:col>
      <xdr:colOff>495300</xdr:colOff>
      <xdr:row>17</xdr:row>
      <xdr:rowOff>114300</xdr:rowOff>
    </xdr:to>
    <xdr:pic>
      <xdr:nvPicPr>
        <xdr:cNvPr id="1" name="ComboBox1"/>
        <xdr:cNvPicPr preferRelativeResize="1">
          <a:picLocks noChangeAspect="1"/>
        </xdr:cNvPicPr>
      </xdr:nvPicPr>
      <xdr:blipFill>
        <a:blip r:embed="rId1"/>
        <a:stretch>
          <a:fillRect/>
        </a:stretch>
      </xdr:blipFill>
      <xdr:spPr>
        <a:xfrm>
          <a:off x="504825" y="5314950"/>
          <a:ext cx="876300" cy="361950"/>
        </a:xfrm>
        <a:prstGeom prst="rect">
          <a:avLst/>
        </a:prstGeom>
        <a:noFill/>
        <a:ln w="9525" cmpd="sng">
          <a:noFill/>
        </a:ln>
      </xdr:spPr>
    </xdr:pic>
    <xdr:clientData/>
  </xdr:twoCellAnchor>
  <xdr:twoCellAnchor>
    <xdr:from>
      <xdr:col>2</xdr:col>
      <xdr:colOff>552450</xdr:colOff>
      <xdr:row>16</xdr:row>
      <xdr:rowOff>247650</xdr:rowOff>
    </xdr:from>
    <xdr:to>
      <xdr:col>3</xdr:col>
      <xdr:colOff>85725</xdr:colOff>
      <xdr:row>16</xdr:row>
      <xdr:rowOff>247650</xdr:rowOff>
    </xdr:to>
    <xdr:sp>
      <xdr:nvSpPr>
        <xdr:cNvPr id="2" name="直線矢印コネクタ 4"/>
        <xdr:cNvSpPr>
          <a:spLocks/>
        </xdr:cNvSpPr>
      </xdr:nvSpPr>
      <xdr:spPr>
        <a:xfrm flipH="1">
          <a:off x="1438275" y="5486400"/>
          <a:ext cx="295275"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142875</xdr:colOff>
      <xdr:row>16</xdr:row>
      <xdr:rowOff>66675</xdr:rowOff>
    </xdr:from>
    <xdr:ext cx="1076325" cy="342900"/>
    <xdr:sp>
      <xdr:nvSpPr>
        <xdr:cNvPr id="3" name="Text Box 260"/>
        <xdr:cNvSpPr txBox="1">
          <a:spLocks noChangeArrowheads="1"/>
        </xdr:cNvSpPr>
      </xdr:nvSpPr>
      <xdr:spPr>
        <a:xfrm>
          <a:off x="1790700" y="5305425"/>
          <a:ext cx="1076325" cy="3429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これが</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コンポボックスです。</a:t>
          </a:r>
        </a:p>
      </xdr:txBody>
    </xdr:sp>
    <xdr:clientData/>
  </xdr:oneCellAnchor>
  <xdr:oneCellAnchor>
    <xdr:from>
      <xdr:col>6</xdr:col>
      <xdr:colOff>561975</xdr:colOff>
      <xdr:row>16</xdr:row>
      <xdr:rowOff>47625</xdr:rowOff>
    </xdr:from>
    <xdr:ext cx="1095375" cy="342900"/>
    <xdr:sp>
      <xdr:nvSpPr>
        <xdr:cNvPr id="4" name="Text Box 261"/>
        <xdr:cNvSpPr txBox="1">
          <a:spLocks noChangeArrowheads="1"/>
        </xdr:cNvSpPr>
      </xdr:nvSpPr>
      <xdr:spPr>
        <a:xfrm>
          <a:off x="4495800" y="5286375"/>
          <a:ext cx="1095375" cy="3429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入力部分は</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この色のところです。</a:t>
          </a:r>
        </a:p>
      </xdr:txBody>
    </xdr:sp>
    <xdr:clientData/>
  </xdr:oneCellAnchor>
  <xdr:twoCellAnchor>
    <xdr:from>
      <xdr:col>5</xdr:col>
      <xdr:colOff>95250</xdr:colOff>
      <xdr:row>16</xdr:row>
      <xdr:rowOff>66675</xdr:rowOff>
    </xdr:from>
    <xdr:to>
      <xdr:col>6</xdr:col>
      <xdr:colOff>133350</xdr:colOff>
      <xdr:row>17</xdr:row>
      <xdr:rowOff>85725</xdr:rowOff>
    </xdr:to>
    <xdr:sp>
      <xdr:nvSpPr>
        <xdr:cNvPr id="5" name="Rectangle 263"/>
        <xdr:cNvSpPr>
          <a:spLocks/>
        </xdr:cNvSpPr>
      </xdr:nvSpPr>
      <xdr:spPr>
        <a:xfrm>
          <a:off x="3267075" y="5305425"/>
          <a:ext cx="80010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209550</xdr:colOff>
      <xdr:row>16</xdr:row>
      <xdr:rowOff>238125</xdr:rowOff>
    </xdr:from>
    <xdr:to>
      <xdr:col>6</xdr:col>
      <xdr:colOff>504825</xdr:colOff>
      <xdr:row>16</xdr:row>
      <xdr:rowOff>238125</xdr:rowOff>
    </xdr:to>
    <xdr:sp>
      <xdr:nvSpPr>
        <xdr:cNvPr id="6" name="直線矢印コネクタ 4"/>
        <xdr:cNvSpPr>
          <a:spLocks/>
        </xdr:cNvSpPr>
      </xdr:nvSpPr>
      <xdr:spPr>
        <a:xfrm flipH="1">
          <a:off x="4143375" y="5476875"/>
          <a:ext cx="295275"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247650</xdr:colOff>
      <xdr:row>21</xdr:row>
      <xdr:rowOff>219075</xdr:rowOff>
    </xdr:from>
    <xdr:to>
      <xdr:col>8</xdr:col>
      <xdr:colOff>914400</xdr:colOff>
      <xdr:row>32</xdr:row>
      <xdr:rowOff>47625</xdr:rowOff>
    </xdr:to>
    <xdr:sp>
      <xdr:nvSpPr>
        <xdr:cNvPr id="7" name="Rectangle 265"/>
        <xdr:cNvSpPr>
          <a:spLocks/>
        </xdr:cNvSpPr>
      </xdr:nvSpPr>
      <xdr:spPr>
        <a:xfrm>
          <a:off x="371475" y="7077075"/>
          <a:ext cx="6000750" cy="3086100"/>
        </a:xfrm>
        <a:prstGeom prst="rect">
          <a:avLst/>
        </a:prstGeom>
        <a:noFill/>
        <a:ln w="1587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1190625</xdr:colOff>
      <xdr:row>1</xdr:row>
      <xdr:rowOff>85725</xdr:rowOff>
    </xdr:from>
    <xdr:to>
      <xdr:col>9</xdr:col>
      <xdr:colOff>2095500</xdr:colOff>
      <xdr:row>3</xdr:row>
      <xdr:rowOff>190500</xdr:rowOff>
    </xdr:to>
    <xdr:sp>
      <xdr:nvSpPr>
        <xdr:cNvPr id="1" name="Rectangle 60"/>
        <xdr:cNvSpPr>
          <a:spLocks/>
        </xdr:cNvSpPr>
      </xdr:nvSpPr>
      <xdr:spPr>
        <a:xfrm>
          <a:off x="5838825" y="180975"/>
          <a:ext cx="3695700" cy="44767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FF0000"/>
              </a:solidFill>
            </a:rPr>
            <a:t>  </a:t>
          </a:r>
          <a:r>
            <a:rPr lang="en-US" cap="none" sz="1100" b="1" i="0" u="none" baseline="0">
              <a:solidFill>
                <a:srgbClr val="FF0000"/>
              </a:solidFill>
            </a:rPr>
            <a:t>【注】雇用増の対象となる雇用者は、雇用保険、健康保険、</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厚生年金保険の３保険すべてに加入している者です。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457200</xdr:colOff>
      <xdr:row>1</xdr:row>
      <xdr:rowOff>114300</xdr:rowOff>
    </xdr:from>
    <xdr:to>
      <xdr:col>8</xdr:col>
      <xdr:colOff>1285875</xdr:colOff>
      <xdr:row>3</xdr:row>
      <xdr:rowOff>219075</xdr:rowOff>
    </xdr:to>
    <xdr:sp>
      <xdr:nvSpPr>
        <xdr:cNvPr id="1" name="Rectangle 44"/>
        <xdr:cNvSpPr>
          <a:spLocks/>
        </xdr:cNvSpPr>
      </xdr:nvSpPr>
      <xdr:spPr>
        <a:xfrm>
          <a:off x="5172075" y="209550"/>
          <a:ext cx="3524250" cy="44767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FF0000"/>
              </a:solidFill>
            </a:rPr>
            <a:t>  </a:t>
          </a:r>
          <a:r>
            <a:rPr lang="en-US" cap="none" sz="1100" b="1" i="0" u="none" baseline="0">
              <a:solidFill>
                <a:srgbClr val="FF0000"/>
              </a:solidFill>
            </a:rPr>
            <a:t>【注】雇用増の対象となる雇用者は、雇用保険、健康保険、</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　厚生年金保険の３保険すべてに加入している者です。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rgb="FFFF0000"/>
  </sheetPr>
  <dimension ref="A1:V34"/>
  <sheetViews>
    <sheetView tabSelected="1" zoomScalePageLayoutView="0" workbookViewId="0" topLeftCell="A1">
      <selection activeCell="B19" sqref="B19:I22"/>
    </sheetView>
  </sheetViews>
  <sheetFormatPr defaultColWidth="11.421875" defaultRowHeight="25.5" customHeight="1"/>
  <cols>
    <col min="1" max="1" width="1.8515625" style="17" customWidth="1"/>
    <col min="2" max="8" width="11.421875" style="17" customWidth="1"/>
    <col min="9" max="9" width="19.421875" style="17" customWidth="1"/>
    <col min="10" max="10" width="1.57421875" style="17" customWidth="1"/>
    <col min="11" max="16384" width="11.421875" style="17" customWidth="1"/>
  </cols>
  <sheetData>
    <row r="1" spans="1:12" ht="25.5" customHeight="1">
      <c r="A1" s="137"/>
      <c r="B1" s="137"/>
      <c r="C1" s="137"/>
      <c r="D1" s="137"/>
      <c r="E1" s="137"/>
      <c r="F1" s="137"/>
      <c r="G1" s="137"/>
      <c r="H1" s="137"/>
      <c r="I1" s="137"/>
      <c r="J1" s="137"/>
      <c r="K1" s="137"/>
      <c r="L1" s="137"/>
    </row>
    <row r="2" spans="1:12" ht="30" customHeight="1" thickBot="1">
      <c r="A2" s="137"/>
      <c r="B2" s="186" t="s">
        <v>226</v>
      </c>
      <c r="C2" s="186"/>
      <c r="D2" s="186"/>
      <c r="E2" s="186"/>
      <c r="F2" s="186"/>
      <c r="G2" s="186"/>
      <c r="H2" s="186"/>
      <c r="I2" s="186"/>
      <c r="J2" s="137"/>
      <c r="K2" s="137"/>
      <c r="L2" s="137"/>
    </row>
    <row r="3" spans="1:12" ht="25.5" customHeight="1" thickTop="1">
      <c r="A3" s="137"/>
      <c r="B3" s="138"/>
      <c r="C3" s="138"/>
      <c r="D3" s="138"/>
      <c r="E3" s="138"/>
      <c r="F3" s="138"/>
      <c r="G3" s="137"/>
      <c r="H3" s="137"/>
      <c r="I3" s="137"/>
      <c r="J3" s="137"/>
      <c r="K3" s="137"/>
      <c r="L3" s="137"/>
    </row>
    <row r="4" spans="1:12" ht="25.5" customHeight="1">
      <c r="A4" s="137"/>
      <c r="B4" s="187" t="s">
        <v>218</v>
      </c>
      <c r="C4" s="187"/>
      <c r="D4" s="187"/>
      <c r="E4" s="187"/>
      <c r="F4" s="187"/>
      <c r="G4" s="187"/>
      <c r="H4" s="187"/>
      <c r="I4" s="187"/>
      <c r="J4" s="137"/>
      <c r="K4" s="137"/>
      <c r="L4" s="137"/>
    </row>
    <row r="5" spans="1:12" ht="25.5" customHeight="1">
      <c r="A5" s="137"/>
      <c r="B5" s="187"/>
      <c r="C5" s="187"/>
      <c r="D5" s="187"/>
      <c r="E5" s="187"/>
      <c r="F5" s="187"/>
      <c r="G5" s="187"/>
      <c r="H5" s="187"/>
      <c r="I5" s="187"/>
      <c r="J5" s="137"/>
      <c r="K5" s="137"/>
      <c r="L5" s="137"/>
    </row>
    <row r="6" spans="1:12" ht="25.5" customHeight="1">
      <c r="A6" s="137"/>
      <c r="B6" s="187"/>
      <c r="C6" s="187"/>
      <c r="D6" s="187"/>
      <c r="E6" s="187"/>
      <c r="F6" s="187"/>
      <c r="G6" s="187"/>
      <c r="H6" s="187"/>
      <c r="I6" s="187"/>
      <c r="J6" s="137"/>
      <c r="K6" s="137"/>
      <c r="L6" s="137"/>
    </row>
    <row r="7" spans="1:12" ht="25.5" customHeight="1">
      <c r="A7" s="137"/>
      <c r="B7" s="187"/>
      <c r="C7" s="187"/>
      <c r="D7" s="187"/>
      <c r="E7" s="187"/>
      <c r="F7" s="187"/>
      <c r="G7" s="187"/>
      <c r="H7" s="187"/>
      <c r="I7" s="187"/>
      <c r="J7" s="137"/>
      <c r="K7" s="137"/>
      <c r="L7" s="137"/>
    </row>
    <row r="8" spans="1:12" ht="25.5" customHeight="1">
      <c r="A8" s="137"/>
      <c r="B8" s="187" t="s">
        <v>219</v>
      </c>
      <c r="C8" s="187"/>
      <c r="D8" s="187"/>
      <c r="E8" s="187"/>
      <c r="F8" s="187"/>
      <c r="G8" s="187"/>
      <c r="H8" s="187"/>
      <c r="I8" s="187"/>
      <c r="J8" s="137"/>
      <c r="K8" s="137"/>
      <c r="L8" s="137"/>
    </row>
    <row r="9" spans="1:12" ht="25.5" customHeight="1">
      <c r="A9" s="137"/>
      <c r="B9" s="187"/>
      <c r="C9" s="187"/>
      <c r="D9" s="187"/>
      <c r="E9" s="187"/>
      <c r="F9" s="187"/>
      <c r="G9" s="187"/>
      <c r="H9" s="187"/>
      <c r="I9" s="187"/>
      <c r="J9" s="137"/>
      <c r="K9" s="137"/>
      <c r="L9" s="137"/>
    </row>
    <row r="10" spans="1:12" ht="25.5" customHeight="1">
      <c r="A10" s="137"/>
      <c r="B10" s="187"/>
      <c r="C10" s="187"/>
      <c r="D10" s="187"/>
      <c r="E10" s="187"/>
      <c r="F10" s="187"/>
      <c r="G10" s="187"/>
      <c r="H10" s="187"/>
      <c r="I10" s="187"/>
      <c r="J10" s="137"/>
      <c r="K10" s="137"/>
      <c r="L10" s="137"/>
    </row>
    <row r="11" spans="1:12" ht="25.5" customHeight="1">
      <c r="A11" s="137"/>
      <c r="B11" s="139"/>
      <c r="C11" s="137"/>
      <c r="D11" s="137"/>
      <c r="E11" s="137"/>
      <c r="F11" s="137"/>
      <c r="G11" s="137"/>
      <c r="H11" s="137"/>
      <c r="I11" s="137"/>
      <c r="J11" s="137"/>
      <c r="K11" s="137"/>
      <c r="L11" s="137"/>
    </row>
    <row r="12" spans="1:22" ht="25.5" customHeight="1">
      <c r="A12" s="137"/>
      <c r="B12" s="139" t="s">
        <v>94</v>
      </c>
      <c r="C12" s="137"/>
      <c r="D12" s="137"/>
      <c r="E12" s="137"/>
      <c r="F12" s="137"/>
      <c r="G12" s="137"/>
      <c r="H12" s="137"/>
      <c r="I12" s="137"/>
      <c r="J12" s="137"/>
      <c r="K12" s="140"/>
      <c r="L12" s="137"/>
      <c r="Q12" s="18"/>
      <c r="R12" s="19"/>
      <c r="S12" s="19"/>
      <c r="T12" s="19"/>
      <c r="U12" s="19"/>
      <c r="V12" s="19"/>
    </row>
    <row r="13" spans="1:22" ht="25.5" customHeight="1">
      <c r="A13" s="137"/>
      <c r="B13" s="188" t="s">
        <v>220</v>
      </c>
      <c r="C13" s="188"/>
      <c r="D13" s="188"/>
      <c r="E13" s="188"/>
      <c r="F13" s="188"/>
      <c r="G13" s="188"/>
      <c r="H13" s="188"/>
      <c r="I13" s="188"/>
      <c r="J13" s="137"/>
      <c r="K13" s="140"/>
      <c r="L13" s="137"/>
      <c r="Q13" s="18"/>
      <c r="R13" s="19"/>
      <c r="S13" s="19"/>
      <c r="T13" s="19"/>
      <c r="U13" s="19"/>
      <c r="V13" s="19"/>
    </row>
    <row r="14" spans="1:22" ht="25.5" customHeight="1">
      <c r="A14" s="137"/>
      <c r="B14" s="188" t="s">
        <v>221</v>
      </c>
      <c r="C14" s="188"/>
      <c r="D14" s="188"/>
      <c r="E14" s="188"/>
      <c r="F14" s="188"/>
      <c r="G14" s="188"/>
      <c r="H14" s="188"/>
      <c r="I14" s="188"/>
      <c r="J14" s="137"/>
      <c r="K14" s="140"/>
      <c r="L14" s="137"/>
      <c r="Q14" s="18"/>
      <c r="R14" s="19"/>
      <c r="S14" s="19"/>
      <c r="T14" s="19"/>
      <c r="U14" s="19"/>
      <c r="V14" s="19"/>
    </row>
    <row r="15" spans="1:22" ht="25.5" customHeight="1">
      <c r="A15" s="137"/>
      <c r="B15" s="189" t="s">
        <v>222</v>
      </c>
      <c r="C15" s="189"/>
      <c r="D15" s="189"/>
      <c r="E15" s="189"/>
      <c r="F15" s="189"/>
      <c r="G15" s="189"/>
      <c r="H15" s="189"/>
      <c r="I15" s="189"/>
      <c r="J15" s="137"/>
      <c r="K15" s="140"/>
      <c r="L15" s="137"/>
      <c r="Q15" s="18"/>
      <c r="R15" s="19"/>
      <c r="S15" s="19"/>
      <c r="T15" s="19"/>
      <c r="U15" s="19"/>
      <c r="V15" s="19"/>
    </row>
    <row r="16" spans="1:22" ht="25.5" customHeight="1">
      <c r="A16" s="137"/>
      <c r="B16" s="189"/>
      <c r="C16" s="189"/>
      <c r="D16" s="189"/>
      <c r="E16" s="189"/>
      <c r="F16" s="189"/>
      <c r="G16" s="189"/>
      <c r="H16" s="189"/>
      <c r="I16" s="189"/>
      <c r="J16" s="137"/>
      <c r="K16" s="140"/>
      <c r="L16" s="137"/>
      <c r="Q16" s="18"/>
      <c r="R16" s="19"/>
      <c r="S16" s="19"/>
      <c r="T16" s="19"/>
      <c r="U16" s="19"/>
      <c r="V16" s="19"/>
    </row>
    <row r="17" spans="1:22" ht="25.5" customHeight="1">
      <c r="A17" s="137"/>
      <c r="B17" s="137"/>
      <c r="C17" s="137"/>
      <c r="D17" s="137"/>
      <c r="E17" s="137"/>
      <c r="F17" s="137"/>
      <c r="G17" s="137"/>
      <c r="H17" s="137"/>
      <c r="I17" s="137"/>
      <c r="J17" s="137"/>
      <c r="K17" s="140"/>
      <c r="L17" s="137"/>
      <c r="Q17" s="18"/>
      <c r="R17" s="19"/>
      <c r="S17" s="19"/>
      <c r="T17" s="19"/>
      <c r="U17" s="19"/>
      <c r="V17" s="19"/>
    </row>
    <row r="18" spans="1:22" ht="25.5" customHeight="1">
      <c r="A18" s="137"/>
      <c r="B18" s="137"/>
      <c r="C18" s="137"/>
      <c r="D18" s="137"/>
      <c r="E18" s="137"/>
      <c r="F18" s="137"/>
      <c r="G18" s="137"/>
      <c r="H18" s="137"/>
      <c r="I18" s="137"/>
      <c r="J18" s="137"/>
      <c r="K18" s="140"/>
      <c r="L18" s="137"/>
      <c r="Q18" s="18"/>
      <c r="R18" s="19"/>
      <c r="S18" s="19"/>
      <c r="T18" s="19"/>
      <c r="U18" s="19"/>
      <c r="V18" s="19"/>
    </row>
    <row r="19" spans="1:22" ht="25.5" customHeight="1">
      <c r="A19" s="137"/>
      <c r="B19" s="184" t="s">
        <v>223</v>
      </c>
      <c r="C19" s="184"/>
      <c r="D19" s="184"/>
      <c r="E19" s="184"/>
      <c r="F19" s="184"/>
      <c r="G19" s="184"/>
      <c r="H19" s="184"/>
      <c r="I19" s="184"/>
      <c r="J19" s="137"/>
      <c r="K19" s="140"/>
      <c r="L19" s="137"/>
      <c r="Q19" s="18"/>
      <c r="R19" s="19"/>
      <c r="S19" s="19"/>
      <c r="T19" s="19"/>
      <c r="U19" s="19"/>
      <c r="V19" s="19"/>
    </row>
    <row r="20" spans="1:12" ht="25.5" customHeight="1">
      <c r="A20" s="137"/>
      <c r="B20" s="184"/>
      <c r="C20" s="184"/>
      <c r="D20" s="184"/>
      <c r="E20" s="184"/>
      <c r="F20" s="184"/>
      <c r="G20" s="184"/>
      <c r="H20" s="184"/>
      <c r="I20" s="184"/>
      <c r="J20" s="137"/>
      <c r="K20" s="141"/>
      <c r="L20" s="137"/>
    </row>
    <row r="21" spans="1:12" ht="25.5" customHeight="1">
      <c r="A21" s="137"/>
      <c r="B21" s="184"/>
      <c r="C21" s="184"/>
      <c r="D21" s="184"/>
      <c r="E21" s="184"/>
      <c r="F21" s="184"/>
      <c r="G21" s="184"/>
      <c r="H21" s="184"/>
      <c r="I21" s="184"/>
      <c r="J21" s="137"/>
      <c r="K21" s="141"/>
      <c r="L21" s="137"/>
    </row>
    <row r="22" spans="1:12" ht="25.5" customHeight="1">
      <c r="A22" s="137"/>
      <c r="B22" s="184"/>
      <c r="C22" s="184"/>
      <c r="D22" s="184"/>
      <c r="E22" s="184"/>
      <c r="F22" s="184"/>
      <c r="G22" s="184"/>
      <c r="H22" s="184"/>
      <c r="I22" s="184"/>
      <c r="J22" s="137"/>
      <c r="K22" s="140"/>
      <c r="L22" s="137"/>
    </row>
    <row r="23" spans="1:12" ht="25.5" customHeight="1">
      <c r="A23" s="137"/>
      <c r="B23" s="142" t="s">
        <v>225</v>
      </c>
      <c r="C23" s="137"/>
      <c r="D23" s="137"/>
      <c r="E23" s="137"/>
      <c r="F23" s="137"/>
      <c r="G23" s="137"/>
      <c r="H23" s="137"/>
      <c r="I23" s="137"/>
      <c r="J23" s="137"/>
      <c r="K23" s="140"/>
      <c r="L23" s="137"/>
    </row>
    <row r="24" spans="1:12" ht="4.5" customHeight="1">
      <c r="A24" s="138"/>
      <c r="B24" s="185" t="s">
        <v>224</v>
      </c>
      <c r="C24" s="185"/>
      <c r="D24" s="185"/>
      <c r="E24" s="185"/>
      <c r="F24" s="185"/>
      <c r="G24" s="185"/>
      <c r="H24" s="185"/>
      <c r="I24" s="185"/>
      <c r="J24" s="137"/>
      <c r="K24" s="140"/>
      <c r="L24" s="137"/>
    </row>
    <row r="25" spans="1:12" ht="25.5" customHeight="1">
      <c r="A25" s="138"/>
      <c r="B25" s="185"/>
      <c r="C25" s="185"/>
      <c r="D25" s="185"/>
      <c r="E25" s="185"/>
      <c r="F25" s="185"/>
      <c r="G25" s="185"/>
      <c r="H25" s="185"/>
      <c r="I25" s="185"/>
      <c r="J25" s="137"/>
      <c r="K25" s="140"/>
      <c r="L25" s="137"/>
    </row>
    <row r="26" spans="1:15" ht="25.5" customHeight="1">
      <c r="A26" s="138"/>
      <c r="B26" s="185"/>
      <c r="C26" s="185"/>
      <c r="D26" s="185"/>
      <c r="E26" s="185"/>
      <c r="F26" s="185"/>
      <c r="G26" s="185"/>
      <c r="H26" s="185"/>
      <c r="I26" s="185"/>
      <c r="J26" s="137"/>
      <c r="K26" s="143"/>
      <c r="L26" s="138"/>
      <c r="M26" s="20"/>
      <c r="N26" s="20"/>
      <c r="O26" s="20"/>
    </row>
    <row r="27" spans="1:15" ht="25.5" customHeight="1">
      <c r="A27" s="138"/>
      <c r="B27" s="185"/>
      <c r="C27" s="185"/>
      <c r="D27" s="185"/>
      <c r="E27" s="185"/>
      <c r="F27" s="185"/>
      <c r="G27" s="185"/>
      <c r="H27" s="185"/>
      <c r="I27" s="185"/>
      <c r="J27" s="137"/>
      <c r="K27" s="144"/>
      <c r="L27" s="138"/>
      <c r="M27" s="20"/>
      <c r="N27" s="20"/>
      <c r="O27" s="20"/>
    </row>
    <row r="28" spans="1:15" ht="25.5" customHeight="1">
      <c r="A28" s="138"/>
      <c r="B28" s="185"/>
      <c r="C28" s="185"/>
      <c r="D28" s="185"/>
      <c r="E28" s="185"/>
      <c r="F28" s="185"/>
      <c r="G28" s="185"/>
      <c r="H28" s="185"/>
      <c r="I28" s="185"/>
      <c r="J28" s="137"/>
      <c r="K28" s="144"/>
      <c r="L28" s="138"/>
      <c r="M28" s="20"/>
      <c r="N28" s="20"/>
      <c r="O28" s="20"/>
    </row>
    <row r="29" spans="1:15" ht="25.5" customHeight="1">
      <c r="A29" s="137"/>
      <c r="B29" s="185"/>
      <c r="C29" s="185"/>
      <c r="D29" s="185"/>
      <c r="E29" s="185"/>
      <c r="F29" s="185"/>
      <c r="G29" s="185"/>
      <c r="H29" s="185"/>
      <c r="I29" s="185"/>
      <c r="J29" s="137"/>
      <c r="K29" s="144"/>
      <c r="L29" s="138"/>
      <c r="M29" s="20"/>
      <c r="N29" s="20"/>
      <c r="O29" s="20"/>
    </row>
    <row r="30" spans="1:15" ht="25.5" customHeight="1">
      <c r="A30" s="137"/>
      <c r="B30" s="185"/>
      <c r="C30" s="185"/>
      <c r="D30" s="185"/>
      <c r="E30" s="185"/>
      <c r="F30" s="185"/>
      <c r="G30" s="185"/>
      <c r="H30" s="185"/>
      <c r="I30" s="185"/>
      <c r="J30" s="137"/>
      <c r="K30" s="145"/>
      <c r="L30" s="138"/>
      <c r="M30" s="20"/>
      <c r="N30" s="20"/>
      <c r="O30" s="20"/>
    </row>
    <row r="31" spans="1:15" ht="25.5" customHeight="1">
      <c r="A31" s="137"/>
      <c r="B31" s="185"/>
      <c r="C31" s="185"/>
      <c r="D31" s="185"/>
      <c r="E31" s="185"/>
      <c r="F31" s="185"/>
      <c r="G31" s="185"/>
      <c r="H31" s="185"/>
      <c r="I31" s="185"/>
      <c r="J31" s="137"/>
      <c r="K31" s="143"/>
      <c r="L31" s="138"/>
      <c r="M31" s="20"/>
      <c r="N31" s="20"/>
      <c r="O31" s="20"/>
    </row>
    <row r="32" spans="1:15" ht="22.5" customHeight="1">
      <c r="A32" s="137"/>
      <c r="B32" s="185"/>
      <c r="C32" s="185"/>
      <c r="D32" s="185"/>
      <c r="E32" s="185"/>
      <c r="F32" s="185"/>
      <c r="G32" s="185"/>
      <c r="H32" s="185"/>
      <c r="I32" s="185"/>
      <c r="J32" s="137"/>
      <c r="K32" s="144"/>
      <c r="L32" s="138"/>
      <c r="M32" s="20"/>
      <c r="N32" s="20"/>
      <c r="O32" s="20"/>
    </row>
    <row r="33" spans="1:15" ht="25.5" customHeight="1">
      <c r="A33" s="137"/>
      <c r="B33" s="137"/>
      <c r="C33" s="137"/>
      <c r="D33" s="137"/>
      <c r="E33" s="137"/>
      <c r="F33" s="137"/>
      <c r="G33" s="137"/>
      <c r="H33" s="137"/>
      <c r="I33" s="137"/>
      <c r="J33" s="137"/>
      <c r="K33" s="144"/>
      <c r="L33" s="138"/>
      <c r="M33" s="20"/>
      <c r="N33" s="20"/>
      <c r="O33" s="20"/>
    </row>
    <row r="34" spans="11:15" ht="25.5" customHeight="1">
      <c r="K34" s="20"/>
      <c r="L34" s="20"/>
      <c r="M34" s="20"/>
      <c r="N34" s="20"/>
      <c r="O34" s="20"/>
    </row>
  </sheetData>
  <sheetProtection password="DC84" sheet="1" objects="1" scenarios="1" selectLockedCells="1"/>
  <mergeCells count="8">
    <mergeCell ref="B19:I22"/>
    <mergeCell ref="B24:I32"/>
    <mergeCell ref="B2:I2"/>
    <mergeCell ref="B4:I7"/>
    <mergeCell ref="B8:I10"/>
    <mergeCell ref="B13:I13"/>
    <mergeCell ref="B14:I14"/>
    <mergeCell ref="B15:I16"/>
  </mergeCells>
  <printOptions/>
  <pageMargins left="0.16" right="0.16" top="0.7480314960629921" bottom="0.33" header="0.31496062992125984" footer="0.2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C2:AG34"/>
  <sheetViews>
    <sheetView zoomScaleSheetLayoutView="115" zoomScalePageLayoutView="0" workbookViewId="0" topLeftCell="A1">
      <selection activeCell="F11" sqref="F11:G11"/>
    </sheetView>
  </sheetViews>
  <sheetFormatPr defaultColWidth="40.8515625" defaultRowHeight="15" customHeight="1"/>
  <cols>
    <col min="1" max="1" width="4.57421875" style="2" customWidth="1"/>
    <col min="2" max="2" width="1.28515625" style="2" customWidth="1"/>
    <col min="3" max="3" width="5.140625" style="2" customWidth="1"/>
    <col min="4" max="4" width="19.57421875" style="2" customWidth="1"/>
    <col min="5" max="5" width="18.140625" style="2" customWidth="1"/>
    <col min="6" max="6" width="5.00390625" style="2" customWidth="1"/>
    <col min="7" max="7" width="16.00390625" style="2" customWidth="1"/>
    <col min="8" max="8" width="18.421875" style="2" customWidth="1"/>
    <col min="9" max="9" width="23.421875" style="2" customWidth="1"/>
    <col min="10" max="10" width="39.00390625" style="2" customWidth="1"/>
    <col min="11" max="11" width="1.28515625" style="2" customWidth="1"/>
    <col min="12" max="12" width="12.00390625" style="2" customWidth="1"/>
    <col min="13" max="13" width="12.00390625" style="2" hidden="1" customWidth="1"/>
    <col min="14" max="14" width="10.140625" style="2" hidden="1" customWidth="1"/>
    <col min="15" max="15" width="8.421875" style="2" hidden="1" customWidth="1"/>
    <col min="16" max="19" width="12.00390625" style="2" hidden="1" customWidth="1"/>
    <col min="20" max="20" width="8.140625" style="2" hidden="1" customWidth="1"/>
    <col min="21" max="21" width="5.421875" style="2" hidden="1" customWidth="1"/>
    <col min="22" max="22" width="3.7109375" style="2" hidden="1" customWidth="1"/>
    <col min="23" max="23" width="5.421875" style="2" hidden="1" customWidth="1"/>
    <col min="24" max="24" width="2.8515625" style="2" hidden="1" customWidth="1"/>
    <col min="25" max="25" width="6.7109375" style="2" hidden="1" customWidth="1"/>
    <col min="26" max="26" width="4.140625" style="2" hidden="1" customWidth="1"/>
    <col min="27" max="27" width="6.00390625" style="2" hidden="1" customWidth="1"/>
    <col min="28" max="28" width="5.421875" style="2" hidden="1" customWidth="1"/>
    <col min="29" max="29" width="6.28125" style="2" hidden="1" customWidth="1"/>
    <col min="30" max="30" width="5.140625" style="2" hidden="1" customWidth="1"/>
    <col min="31" max="34" width="12.00390625" style="2" hidden="1" customWidth="1"/>
    <col min="35" max="44" width="40.8515625" style="2" customWidth="1"/>
    <col min="45" max="16384" width="40.8515625" style="2" customWidth="1"/>
  </cols>
  <sheetData>
    <row r="1" ht="7.5" customHeight="1"/>
    <row r="2" spans="3:30" ht="22.5" customHeight="1">
      <c r="C2" s="1" t="s">
        <v>160</v>
      </c>
      <c r="D2" s="1"/>
      <c r="AC2" s="45">
        <v>1</v>
      </c>
      <c r="AD2" s="45">
        <v>1</v>
      </c>
    </row>
    <row r="3" spans="3:30" ht="4.5" customHeight="1">
      <c r="C3" s="1"/>
      <c r="D3" s="1"/>
      <c r="AC3" s="45"/>
      <c r="AD3" s="45"/>
    </row>
    <row r="4" spans="3:33" ht="22.5" customHeight="1">
      <c r="C4" s="3" t="s">
        <v>258</v>
      </c>
      <c r="D4" s="3"/>
      <c r="M4" s="2" t="s">
        <v>65</v>
      </c>
      <c r="AD4" s="45">
        <v>1</v>
      </c>
      <c r="AG4" s="59" t="s">
        <v>227</v>
      </c>
    </row>
    <row r="5" spans="3:33" ht="15" customHeight="1">
      <c r="C5" s="73" t="s">
        <v>7</v>
      </c>
      <c r="D5" s="201" t="s">
        <v>20</v>
      </c>
      <c r="E5" s="202"/>
      <c r="F5" s="204" t="str">
        <f>CHOOSE(AD2,"製造加工施設","環境エネルギー関連施設","試験研究施設","物流関連施設","植物工場","情報関連施設","コールセンター")</f>
        <v>製造加工施設</v>
      </c>
      <c r="G5" s="204"/>
      <c r="H5" s="174" t="s">
        <v>235</v>
      </c>
      <c r="I5" s="172"/>
      <c r="J5" s="67"/>
      <c r="K5" s="21"/>
      <c r="L5" s="4"/>
      <c r="M5" s="2" t="s">
        <v>63</v>
      </c>
      <c r="P5" s="22" t="s">
        <v>124</v>
      </c>
      <c r="Q5" s="22"/>
      <c r="R5" s="22"/>
      <c r="AD5" s="45">
        <v>1</v>
      </c>
      <c r="AF5" s="45" t="s">
        <v>262</v>
      </c>
      <c r="AG5" s="45" t="s">
        <v>263</v>
      </c>
    </row>
    <row r="6" spans="3:33" ht="15" customHeight="1">
      <c r="C6" s="78" t="s">
        <v>8</v>
      </c>
      <c r="D6" s="190" t="s">
        <v>4</v>
      </c>
      <c r="E6" s="191"/>
      <c r="F6" s="205" t="str">
        <f>CHOOSE(AD4,"新設","増設")</f>
        <v>新設</v>
      </c>
      <c r="G6" s="205"/>
      <c r="H6" s="175" t="s">
        <v>235</v>
      </c>
      <c r="I6" s="81"/>
      <c r="J6" s="83"/>
      <c r="K6" s="9"/>
      <c r="M6" s="5" t="s">
        <v>21</v>
      </c>
      <c r="P6" s="22" t="s">
        <v>123</v>
      </c>
      <c r="Q6" s="22"/>
      <c r="R6" s="22"/>
      <c r="AD6" s="45">
        <v>3</v>
      </c>
      <c r="AF6" s="181" t="s">
        <v>230</v>
      </c>
      <c r="AG6" s="181" t="s">
        <v>229</v>
      </c>
    </row>
    <row r="7" spans="3:33" ht="15" customHeight="1">
      <c r="C7" s="78" t="s">
        <v>82</v>
      </c>
      <c r="D7" s="190" t="s">
        <v>144</v>
      </c>
      <c r="E7" s="191"/>
      <c r="F7" s="205" t="str">
        <f>CHOOSE(AD5,"食関連施設でない","食関連施設である")</f>
        <v>食関連施設でない</v>
      </c>
      <c r="G7" s="205"/>
      <c r="H7" s="175" t="s">
        <v>235</v>
      </c>
      <c r="I7" s="81"/>
      <c r="J7" s="83"/>
      <c r="K7" s="9"/>
      <c r="M7" s="5" t="s">
        <v>22</v>
      </c>
      <c r="P7" s="22" t="s">
        <v>102</v>
      </c>
      <c r="Q7" s="22"/>
      <c r="R7" s="22"/>
      <c r="AF7" s="45"/>
      <c r="AG7" s="181" t="s">
        <v>228</v>
      </c>
    </row>
    <row r="8" spans="3:33" ht="15" customHeight="1">
      <c r="C8" s="78" t="s">
        <v>83</v>
      </c>
      <c r="D8" s="190" t="s">
        <v>16</v>
      </c>
      <c r="E8" s="191"/>
      <c r="F8" s="206">
        <v>0</v>
      </c>
      <c r="G8" s="206"/>
      <c r="H8" s="175" t="s">
        <v>236</v>
      </c>
      <c r="I8" s="81"/>
      <c r="J8" s="80"/>
      <c r="K8" s="8"/>
      <c r="M8" s="5" t="s">
        <v>23</v>
      </c>
      <c r="P8" s="23"/>
      <c r="Q8" s="23" t="s">
        <v>145</v>
      </c>
      <c r="R8" s="23" t="s">
        <v>146</v>
      </c>
      <c r="S8" s="5"/>
      <c r="AF8" s="45"/>
      <c r="AG8" s="181" t="s">
        <v>230</v>
      </c>
    </row>
    <row r="9" spans="3:18" ht="15" customHeight="1">
      <c r="C9" s="78" t="s">
        <v>119</v>
      </c>
      <c r="D9" s="190" t="s">
        <v>120</v>
      </c>
      <c r="E9" s="191"/>
      <c r="F9" s="207">
        <f>ROUNDDOWN(+F8*0.7,0)</f>
        <v>0</v>
      </c>
      <c r="G9" s="207"/>
      <c r="H9" s="175" t="s">
        <v>189</v>
      </c>
      <c r="I9" s="81"/>
      <c r="J9" s="80" t="str">
        <f>"チェック　"&amp;IF(F9&gt;=F10,"OK　⑤≧⑥","エラー　⑤＜⑥")</f>
        <v>チェック　エラー　⑤＜⑥</v>
      </c>
      <c r="K9" s="8"/>
      <c r="L9" s="4"/>
      <c r="M9" s="5" t="s">
        <v>24</v>
      </c>
      <c r="P9" s="23" t="s">
        <v>5</v>
      </c>
      <c r="Q9" s="23">
        <v>50000000</v>
      </c>
      <c r="R9" s="23">
        <v>30000000</v>
      </c>
    </row>
    <row r="10" spans="3:18" ht="15" customHeight="1">
      <c r="C10" s="78" t="s">
        <v>121</v>
      </c>
      <c r="D10" s="190" t="s">
        <v>125</v>
      </c>
      <c r="E10" s="191"/>
      <c r="F10" s="207">
        <f>+'立地補助金'!F12</f>
        <v>20000000</v>
      </c>
      <c r="G10" s="207"/>
      <c r="H10" s="175"/>
      <c r="I10" s="81"/>
      <c r="J10" s="80"/>
      <c r="K10" s="8"/>
      <c r="L10" s="4"/>
      <c r="M10" s="5" t="s">
        <v>25</v>
      </c>
      <c r="O10" s="6"/>
      <c r="P10" s="23" t="s">
        <v>6</v>
      </c>
      <c r="Q10" s="23">
        <v>20000000</v>
      </c>
      <c r="R10" s="23">
        <v>15000000</v>
      </c>
    </row>
    <row r="11" spans="3:18" ht="15" customHeight="1">
      <c r="C11" s="78" t="s">
        <v>248</v>
      </c>
      <c r="D11" s="190" t="s">
        <v>251</v>
      </c>
      <c r="E11" s="191"/>
      <c r="F11" s="203" t="str">
        <f>IF(F6="新設","増加する",CHOOSE(AD6,"減少する","変わらない","増加する"))</f>
        <v>増加する</v>
      </c>
      <c r="G11" s="203"/>
      <c r="H11" s="175" t="s">
        <v>266</v>
      </c>
      <c r="I11" s="81"/>
      <c r="J11" s="80" t="str">
        <f>"チェック　"&amp;IF(F6="増設",IF(F11="減少する","エラー　要件は雇用規模維持又は拡大","OK"),"OK")</f>
        <v>チェック　OK</v>
      </c>
      <c r="K11" s="8"/>
      <c r="L11" s="4"/>
      <c r="M11" s="5" t="s">
        <v>26</v>
      </c>
      <c r="O11" s="6"/>
      <c r="P11" s="56"/>
      <c r="Q11" s="56"/>
      <c r="R11" s="56"/>
    </row>
    <row r="12" spans="3:18" ht="15" customHeight="1">
      <c r="C12" s="78" t="s">
        <v>249</v>
      </c>
      <c r="D12" s="190" t="s">
        <v>14</v>
      </c>
      <c r="E12" s="191"/>
      <c r="F12" s="213">
        <f>+F13+F14</f>
        <v>0</v>
      </c>
      <c r="G12" s="213"/>
      <c r="H12" s="175" t="s">
        <v>128</v>
      </c>
      <c r="I12" s="81"/>
      <c r="J12" s="82"/>
      <c r="K12" s="21"/>
      <c r="M12" s="5" t="s">
        <v>177</v>
      </c>
      <c r="O12" s="6"/>
      <c r="P12" s="24"/>
      <c r="Q12" s="24"/>
      <c r="R12" s="22"/>
    </row>
    <row r="13" spans="3:17" ht="15" customHeight="1">
      <c r="C13" s="78" t="s">
        <v>126</v>
      </c>
      <c r="D13" s="194" t="s">
        <v>35</v>
      </c>
      <c r="E13" s="195"/>
      <c r="F13" s="196">
        <v>0</v>
      </c>
      <c r="G13" s="196"/>
      <c r="H13" s="175" t="s">
        <v>129</v>
      </c>
      <c r="I13" s="81"/>
      <c r="J13" s="82"/>
      <c r="K13" s="21"/>
      <c r="L13" s="4"/>
      <c r="O13" s="6"/>
      <c r="P13" s="6"/>
      <c r="Q13" s="6"/>
    </row>
    <row r="14" spans="3:17" ht="15" customHeight="1">
      <c r="C14" s="78" t="s">
        <v>127</v>
      </c>
      <c r="D14" s="194" t="s">
        <v>36</v>
      </c>
      <c r="E14" s="195"/>
      <c r="F14" s="196">
        <v>0</v>
      </c>
      <c r="G14" s="196"/>
      <c r="H14" s="175" t="s">
        <v>130</v>
      </c>
      <c r="I14" s="81"/>
      <c r="J14" s="83"/>
      <c r="K14" s="9"/>
      <c r="M14" s="9"/>
      <c r="O14" s="6"/>
      <c r="P14" s="6"/>
      <c r="Q14" s="6"/>
    </row>
    <row r="15" spans="3:17" ht="15" customHeight="1">
      <c r="C15" s="78" t="s">
        <v>161</v>
      </c>
      <c r="D15" s="190" t="s">
        <v>43</v>
      </c>
      <c r="E15" s="191"/>
      <c r="F15" s="196">
        <v>0</v>
      </c>
      <c r="G15" s="196"/>
      <c r="H15" s="176" t="s">
        <v>131</v>
      </c>
      <c r="I15" s="81"/>
      <c r="J15" s="82" t="str">
        <f>"チェック　"&amp;IF(F13&gt;=F15,"OK（⑧a≧⑧c）","入力エラー（⑧a＜⑧c）")</f>
        <v>チェック　OK（⑧a≧⑧c）</v>
      </c>
      <c r="K15" s="21"/>
      <c r="M15" s="9"/>
      <c r="O15" s="6"/>
      <c r="P15" s="6"/>
      <c r="Q15" s="6"/>
    </row>
    <row r="16" spans="3:17" ht="15" customHeight="1">
      <c r="C16" s="78" t="s">
        <v>122</v>
      </c>
      <c r="D16" s="209" t="s">
        <v>31</v>
      </c>
      <c r="E16" s="210"/>
      <c r="F16" s="196">
        <v>0</v>
      </c>
      <c r="G16" s="196"/>
      <c r="H16" s="175" t="s">
        <v>109</v>
      </c>
      <c r="I16" s="81"/>
      <c r="J16" s="82" t="str">
        <f>"チェック　"&amp;IF(F6="増設",IF(F16&gt;=1,"OK（"&amp;F6&amp;"⑨≧1人）","入力エラー（"&amp;F6&amp;"⑨＝0人）"),IF(F6="新設",IF(F16=0,"OK（"&amp;F6&amp;"⑨＝0人）","入力エラー（"&amp;F6&amp;"⑨＞0人）")))</f>
        <v>チェック　OK（新設⑨＝0人）</v>
      </c>
      <c r="K16" s="21"/>
      <c r="O16" s="6"/>
      <c r="P16" s="6"/>
      <c r="Q16" s="6"/>
    </row>
    <row r="17" spans="3:17" ht="15" customHeight="1">
      <c r="C17" s="74" t="s">
        <v>242</v>
      </c>
      <c r="D17" s="211" t="s">
        <v>267</v>
      </c>
      <c r="E17" s="212"/>
      <c r="F17" s="208">
        <v>0</v>
      </c>
      <c r="G17" s="208"/>
      <c r="H17" s="177" t="s">
        <v>107</v>
      </c>
      <c r="I17" s="173"/>
      <c r="J17" s="69"/>
      <c r="K17" s="9"/>
      <c r="M17" s="2" t="s">
        <v>64</v>
      </c>
      <c r="N17" s="6"/>
      <c r="O17" s="6"/>
      <c r="P17" s="6"/>
      <c r="Q17" s="6"/>
    </row>
    <row r="18" ht="15" customHeight="1">
      <c r="M18" s="5" t="s">
        <v>5</v>
      </c>
    </row>
    <row r="19" spans="4:17" ht="15" customHeight="1">
      <c r="D19" s="7" t="s">
        <v>100</v>
      </c>
      <c r="F19" s="7"/>
      <c r="M19" s="5" t="s">
        <v>6</v>
      </c>
      <c r="O19" s="6"/>
      <c r="P19" s="6"/>
      <c r="Q19" s="6"/>
    </row>
    <row r="20" spans="4:10" ht="15" customHeight="1">
      <c r="D20" s="46" t="s">
        <v>79</v>
      </c>
      <c r="E20" s="171"/>
      <c r="F20" s="47" t="str">
        <f>+'立地補助金'!E15</f>
        <v>×</v>
      </c>
      <c r="G20" s="192" t="str">
        <f>+'立地補助金'!F15</f>
        <v>要件を満たしていませんので不採択になります。</v>
      </c>
      <c r="H20" s="192"/>
      <c r="I20" s="193"/>
      <c r="J20" s="8"/>
    </row>
    <row r="21" spans="4:10" ht="7.5" customHeight="1">
      <c r="D21" s="48"/>
      <c r="F21" s="49"/>
      <c r="H21" s="50"/>
      <c r="I21" s="50"/>
      <c r="J21" s="10"/>
    </row>
    <row r="22" spans="4:13" ht="15" customHeight="1">
      <c r="D22" s="51" t="s">
        <v>80</v>
      </c>
      <c r="E22" s="171"/>
      <c r="F22" s="47" t="str">
        <f>+'雇用補助金'!F14</f>
        <v>×</v>
      </c>
      <c r="G22" s="192" t="str">
        <f>+'雇用補助金'!G14</f>
        <v>要件を満たしていませんので不採択になります。</v>
      </c>
      <c r="H22" s="192"/>
      <c r="I22" s="193"/>
      <c r="J22" s="8"/>
      <c r="M22" s="2" t="s">
        <v>147</v>
      </c>
    </row>
    <row r="23" spans="4:17" ht="15" customHeight="1">
      <c r="D23" s="46" t="s">
        <v>81</v>
      </c>
      <c r="E23" s="171"/>
      <c r="F23" s="47" t="str">
        <f>+'雇用補助金'!F19</f>
        <v>×</v>
      </c>
      <c r="G23" s="192" t="str">
        <f>+'雇用補助金'!G19</f>
        <v>要件を満たしていませんので不採択になります。</v>
      </c>
      <c r="H23" s="192"/>
      <c r="I23" s="193"/>
      <c r="J23" s="8"/>
      <c r="M23" s="5" t="s">
        <v>148</v>
      </c>
      <c r="O23" s="6"/>
      <c r="P23" s="6"/>
      <c r="Q23" s="6"/>
    </row>
    <row r="24" spans="4:13" ht="15" customHeight="1">
      <c r="D24" s="46" t="s">
        <v>86</v>
      </c>
      <c r="E24" s="171"/>
      <c r="F24" s="47" t="str">
        <f>+'雇用補助金'!F25</f>
        <v>×</v>
      </c>
      <c r="G24" s="192" t="str">
        <f>+'雇用補助金'!G25</f>
        <v>入力エラー、見直ししてください。</v>
      </c>
      <c r="H24" s="192"/>
      <c r="I24" s="193"/>
      <c r="J24" s="8"/>
      <c r="M24" s="5" t="s">
        <v>146</v>
      </c>
    </row>
    <row r="25" spans="4:17" ht="7.5" customHeight="1">
      <c r="D25" s="48"/>
      <c r="F25" s="49"/>
      <c r="H25" s="50"/>
      <c r="I25" s="50"/>
      <c r="J25" s="10"/>
      <c r="O25" s="6"/>
      <c r="P25" s="6"/>
      <c r="Q25" s="6"/>
    </row>
    <row r="26" spans="4:10" ht="15" customHeight="1">
      <c r="D26" s="51" t="s">
        <v>158</v>
      </c>
      <c r="E26" s="171"/>
      <c r="F26" s="47" t="str">
        <f>+'下水道使用補助金'!E15</f>
        <v>×</v>
      </c>
      <c r="G26" s="192" t="str">
        <f>+'下水道使用補助金'!F15</f>
        <v>要件を満たしていません。</v>
      </c>
      <c r="H26" s="192"/>
      <c r="I26" s="193"/>
      <c r="J26" s="8"/>
    </row>
    <row r="27" spans="4:13" ht="15" customHeight="1">
      <c r="D27" s="46" t="s">
        <v>87</v>
      </c>
      <c r="E27" s="171"/>
      <c r="F27" s="47" t="str">
        <f>+'下水道使用補助金'!E19</f>
        <v>×</v>
      </c>
      <c r="G27" s="192" t="str">
        <f>+'下水道使用補助金'!F19</f>
        <v>要件を満たしていませんので不採択になります。</v>
      </c>
      <c r="H27" s="192"/>
      <c r="I27" s="193"/>
      <c r="J27" s="8"/>
      <c r="M27" s="59" t="s">
        <v>227</v>
      </c>
    </row>
    <row r="28" spans="3:17" ht="15" customHeight="1">
      <c r="C28" s="6"/>
      <c r="D28" s="6"/>
      <c r="I28" s="11"/>
      <c r="J28" s="11"/>
      <c r="M28" s="23" t="s">
        <v>229</v>
      </c>
      <c r="O28" s="6"/>
      <c r="P28" s="6"/>
      <c r="Q28" s="6"/>
    </row>
    <row r="29" spans="3:13" ht="15" customHeight="1">
      <c r="C29" s="6"/>
      <c r="D29" s="3" t="s">
        <v>101</v>
      </c>
      <c r="F29" s="3"/>
      <c r="I29" s="11"/>
      <c r="J29" s="11"/>
      <c r="M29" s="23" t="s">
        <v>228</v>
      </c>
    </row>
    <row r="30" spans="3:17" ht="31.5" customHeight="1">
      <c r="C30" s="6"/>
      <c r="D30" s="52"/>
      <c r="E30" s="199" t="s">
        <v>260</v>
      </c>
      <c r="F30" s="200"/>
      <c r="G30" s="70" t="s">
        <v>91</v>
      </c>
      <c r="J30" s="9"/>
      <c r="M30" s="23" t="s">
        <v>230</v>
      </c>
      <c r="O30" s="6"/>
      <c r="P30" s="6"/>
      <c r="Q30" s="6"/>
    </row>
    <row r="31" spans="3:17" ht="15" customHeight="1">
      <c r="C31" s="6"/>
      <c r="D31" s="52" t="s">
        <v>88</v>
      </c>
      <c r="E31" s="197">
        <f>+'立地補助金'!I25</f>
      </c>
      <c r="F31" s="198"/>
      <c r="G31" s="71">
        <f>IF(E31="","","3年間")</f>
      </c>
      <c r="J31" s="12"/>
      <c r="O31" s="6"/>
      <c r="P31" s="6"/>
      <c r="Q31" s="6"/>
    </row>
    <row r="32" spans="4:17" ht="15" customHeight="1">
      <c r="D32" s="52" t="s">
        <v>89</v>
      </c>
      <c r="E32" s="197">
        <f>+'雇用補助金'!G38</f>
      </c>
      <c r="F32" s="198"/>
      <c r="G32" s="72">
        <f>IF(E32="","",G23)</f>
      </c>
      <c r="J32" s="13"/>
      <c r="O32" s="6"/>
      <c r="P32" s="6"/>
      <c r="Q32" s="6"/>
    </row>
    <row r="33" spans="4:10" ht="15" customHeight="1">
      <c r="D33" s="52" t="s">
        <v>90</v>
      </c>
      <c r="E33" s="197">
        <f>+'下水道使用補助金'!G36</f>
      </c>
      <c r="F33" s="198"/>
      <c r="G33" s="71">
        <f>IF(E33="","","5年間")</f>
      </c>
      <c r="J33" s="12"/>
    </row>
    <row r="34" spans="4:10" ht="15" customHeight="1">
      <c r="D34" s="53" t="s">
        <v>93</v>
      </c>
      <c r="E34" s="197">
        <f>SUM(E31:E33)</f>
        <v>0</v>
      </c>
      <c r="F34" s="198"/>
      <c r="G34" s="70"/>
      <c r="J34" s="9"/>
    </row>
    <row r="35" ht="7.5" customHeight="1"/>
  </sheetData>
  <sheetProtection password="DC84" sheet="1" selectLockedCells="1"/>
  <mergeCells count="37">
    <mergeCell ref="F6:G6"/>
    <mergeCell ref="G26:I26"/>
    <mergeCell ref="F17:G17"/>
    <mergeCell ref="D16:E16"/>
    <mergeCell ref="D17:E17"/>
    <mergeCell ref="F13:G13"/>
    <mergeCell ref="F12:G12"/>
    <mergeCell ref="G20:I20"/>
    <mergeCell ref="G22:I22"/>
    <mergeCell ref="F14:G14"/>
    <mergeCell ref="D5:E5"/>
    <mergeCell ref="D6:E6"/>
    <mergeCell ref="D7:E7"/>
    <mergeCell ref="F11:G11"/>
    <mergeCell ref="F5:G5"/>
    <mergeCell ref="F7:G7"/>
    <mergeCell ref="F8:G8"/>
    <mergeCell ref="F9:G9"/>
    <mergeCell ref="F10:G10"/>
    <mergeCell ref="D8:E8"/>
    <mergeCell ref="F16:G16"/>
    <mergeCell ref="G24:I24"/>
    <mergeCell ref="E34:F34"/>
    <mergeCell ref="E33:F33"/>
    <mergeCell ref="E31:F31"/>
    <mergeCell ref="E32:F32"/>
    <mergeCell ref="E30:F30"/>
    <mergeCell ref="D9:E9"/>
    <mergeCell ref="D10:E10"/>
    <mergeCell ref="D11:E11"/>
    <mergeCell ref="G27:I27"/>
    <mergeCell ref="G23:I23"/>
    <mergeCell ref="D12:E12"/>
    <mergeCell ref="D13:E13"/>
    <mergeCell ref="D14:E14"/>
    <mergeCell ref="D15:E15"/>
    <mergeCell ref="F15:G15"/>
  </mergeCells>
  <dataValidations count="1">
    <dataValidation type="whole" operator="greaterThanOrEqual" allowBlank="1" showInputMessage="1" showErrorMessage="1" sqref="F13:F15">
      <formula1>0</formula1>
    </dataValidation>
  </dataValidations>
  <printOptions/>
  <pageMargins left="0.21" right="0.16" top="0.7480314960629921" bottom="0.7480314960629921" header="0.31496062992125984" footer="0.31496062992125984"/>
  <pageSetup horizontalDpi="300" verticalDpi="3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
    <tabColor rgb="FFFF0000"/>
  </sheetPr>
  <dimension ref="C2:AB31"/>
  <sheetViews>
    <sheetView zoomScaleSheetLayoutView="100" zoomScalePageLayoutView="0" workbookViewId="0" topLeftCell="A1">
      <selection activeCell="F6" sqref="F6:G6"/>
    </sheetView>
  </sheetViews>
  <sheetFormatPr defaultColWidth="37.57421875" defaultRowHeight="15" customHeight="1"/>
  <cols>
    <col min="1" max="1" width="4.421875" style="2" customWidth="1"/>
    <col min="2" max="2" width="1.28515625" style="2" customWidth="1"/>
    <col min="3" max="3" width="3.421875" style="2" customWidth="1"/>
    <col min="4" max="4" width="16.57421875" style="2" customWidth="1"/>
    <col min="5" max="5" width="22.8515625" style="2" customWidth="1"/>
    <col min="6" max="6" width="6.28125" style="2" customWidth="1"/>
    <col min="7" max="7" width="15.8515625" style="2" customWidth="1"/>
    <col min="8" max="8" width="40.421875" style="2" customWidth="1"/>
    <col min="9" max="9" width="38.7109375" style="2" customWidth="1"/>
    <col min="10" max="10" width="1.28515625" style="2" customWidth="1"/>
    <col min="11" max="11" width="3.57421875" style="2" customWidth="1"/>
    <col min="12" max="12" width="29.8515625" style="22" customWidth="1"/>
    <col min="13" max="13" width="23.140625" style="22" customWidth="1"/>
    <col min="14" max="18" width="10.7109375" style="22" customWidth="1"/>
    <col min="19" max="23" width="10.7109375" style="2" customWidth="1"/>
    <col min="24" max="24" width="25.28125" style="22" customWidth="1"/>
    <col min="25" max="26" width="10.7109375" style="22" customWidth="1"/>
    <col min="27" max="30" width="10.7109375" style="2" customWidth="1"/>
    <col min="31" max="16384" width="37.421875" style="2" customWidth="1"/>
  </cols>
  <sheetData>
    <row r="1" ht="7.5" customHeight="1"/>
    <row r="2" spans="3:28" ht="22.5" customHeight="1">
      <c r="C2" s="1" t="s">
        <v>159</v>
      </c>
      <c r="L2" s="22" t="s">
        <v>65</v>
      </c>
      <c r="O2" s="22" t="s">
        <v>124</v>
      </c>
      <c r="Z2" s="62"/>
      <c r="AA2" s="15"/>
      <c r="AB2" s="15"/>
    </row>
    <row r="3" spans="3:28" ht="4.5" customHeight="1">
      <c r="C3" s="14"/>
      <c r="Z3" s="62"/>
      <c r="AA3" s="15"/>
      <c r="AB3" s="15"/>
    </row>
    <row r="4" spans="3:28" ht="22.5" customHeight="1">
      <c r="C4" s="3" t="s">
        <v>108</v>
      </c>
      <c r="E4" s="3"/>
      <c r="L4" s="22" t="s">
        <v>63</v>
      </c>
      <c r="M4" s="22" t="s">
        <v>140</v>
      </c>
      <c r="O4" s="22" t="s">
        <v>132</v>
      </c>
      <c r="X4" s="63" t="s">
        <v>53</v>
      </c>
      <c r="Y4" s="64" t="s">
        <v>54</v>
      </c>
      <c r="Z4" s="64" t="s">
        <v>55</v>
      </c>
      <c r="AA4" s="15"/>
      <c r="AB4" s="15"/>
    </row>
    <row r="5" spans="3:28" ht="15" customHeight="1">
      <c r="C5" s="73" t="s">
        <v>162</v>
      </c>
      <c r="D5" s="201" t="s">
        <v>98</v>
      </c>
      <c r="E5" s="201"/>
      <c r="F5" s="220" t="str">
        <f>VLOOKUP(W25,V5:Z13,2)</f>
        <v>製造加工施設</v>
      </c>
      <c r="G5" s="221"/>
      <c r="H5" s="66" t="s">
        <v>235</v>
      </c>
      <c r="I5" s="76"/>
      <c r="J5" s="8"/>
      <c r="K5" s="8"/>
      <c r="L5" s="23" t="s">
        <v>21</v>
      </c>
      <c r="M5" s="219" t="s">
        <v>261</v>
      </c>
      <c r="N5" s="54"/>
      <c r="O5" s="22" t="s">
        <v>133</v>
      </c>
      <c r="V5" s="2">
        <v>1</v>
      </c>
      <c r="W5" s="5" t="s">
        <v>21</v>
      </c>
      <c r="X5" s="65" t="s">
        <v>261</v>
      </c>
      <c r="Y5" s="64">
        <v>300</v>
      </c>
      <c r="Z5" s="64">
        <v>300000000</v>
      </c>
      <c r="AA5" s="15"/>
      <c r="AB5" s="15"/>
    </row>
    <row r="6" spans="3:28" ht="15" customHeight="1">
      <c r="C6" s="78" t="s">
        <v>165</v>
      </c>
      <c r="D6" s="190" t="s">
        <v>58</v>
      </c>
      <c r="E6" s="190"/>
      <c r="F6" s="226">
        <v>0</v>
      </c>
      <c r="G6" s="227"/>
      <c r="H6" s="79" t="s">
        <v>237</v>
      </c>
      <c r="I6" s="80"/>
      <c r="J6" s="8"/>
      <c r="K6" s="15"/>
      <c r="L6" s="23" t="s">
        <v>22</v>
      </c>
      <c r="M6" s="219"/>
      <c r="N6" s="54"/>
      <c r="O6" s="23">
        <v>20000000</v>
      </c>
      <c r="V6" s="2">
        <v>2</v>
      </c>
      <c r="W6" s="5" t="s">
        <v>22</v>
      </c>
      <c r="X6" s="65" t="s">
        <v>261</v>
      </c>
      <c r="Y6" s="64">
        <v>300</v>
      </c>
      <c r="Z6" s="64">
        <v>300000000</v>
      </c>
      <c r="AA6" s="15"/>
      <c r="AB6" s="15"/>
    </row>
    <row r="7" spans="3:28" ht="15" customHeight="1">
      <c r="C7" s="78" t="s">
        <v>166</v>
      </c>
      <c r="D7" s="190" t="s">
        <v>163</v>
      </c>
      <c r="E7" s="190"/>
      <c r="F7" s="228">
        <v>0</v>
      </c>
      <c r="G7" s="229"/>
      <c r="H7" s="81" t="s">
        <v>238</v>
      </c>
      <c r="I7" s="80"/>
      <c r="J7" s="8"/>
      <c r="K7" s="8"/>
      <c r="L7" s="23" t="s">
        <v>23</v>
      </c>
      <c r="M7" s="219"/>
      <c r="P7" s="55"/>
      <c r="Q7" s="55"/>
      <c r="R7" s="55"/>
      <c r="V7" s="2">
        <v>3</v>
      </c>
      <c r="W7" s="5" t="s">
        <v>23</v>
      </c>
      <c r="X7" s="65" t="s">
        <v>261</v>
      </c>
      <c r="Y7" s="64">
        <v>300</v>
      </c>
      <c r="Z7" s="64">
        <v>300000000</v>
      </c>
      <c r="AA7" s="15"/>
      <c r="AB7" s="15"/>
    </row>
    <row r="8" spans="3:28" ht="15" customHeight="1">
      <c r="C8" s="84"/>
      <c r="D8" s="156" t="s">
        <v>142</v>
      </c>
      <c r="F8" s="157"/>
      <c r="G8" s="158"/>
      <c r="H8" s="79"/>
      <c r="I8" s="80"/>
      <c r="J8" s="8"/>
      <c r="K8" s="8"/>
      <c r="L8" s="23" t="s">
        <v>24</v>
      </c>
      <c r="M8" s="219"/>
      <c r="P8" s="55"/>
      <c r="Q8" s="55"/>
      <c r="R8" s="55"/>
      <c r="V8" s="2">
        <v>4</v>
      </c>
      <c r="W8" s="5" t="s">
        <v>24</v>
      </c>
      <c r="X8" s="65" t="s">
        <v>261</v>
      </c>
      <c r="Y8" s="64">
        <v>300</v>
      </c>
      <c r="Z8" s="64">
        <v>300000000</v>
      </c>
      <c r="AA8" s="15"/>
      <c r="AB8" s="15"/>
    </row>
    <row r="9" spans="3:28" ht="28.5" customHeight="1">
      <c r="C9" s="78" t="s">
        <v>150</v>
      </c>
      <c r="D9" s="190" t="s">
        <v>178</v>
      </c>
      <c r="E9" s="190"/>
      <c r="F9" s="224" t="str">
        <f>VLOOKUP(W25,V5:Z13,3)</f>
        <v>卸売業、サービス業、
小売業以外の業種</v>
      </c>
      <c r="G9" s="225"/>
      <c r="H9" s="79"/>
      <c r="I9" s="80"/>
      <c r="J9" s="8"/>
      <c r="K9" s="8"/>
      <c r="L9" s="23" t="s">
        <v>25</v>
      </c>
      <c r="M9" s="219"/>
      <c r="P9" s="55"/>
      <c r="Q9" s="55"/>
      <c r="R9" s="55"/>
      <c r="V9" s="9">
        <v>5</v>
      </c>
      <c r="W9" s="5" t="s">
        <v>25</v>
      </c>
      <c r="X9" s="65" t="s">
        <v>261</v>
      </c>
      <c r="Y9" s="64">
        <v>300</v>
      </c>
      <c r="Z9" s="64">
        <v>300000000</v>
      </c>
      <c r="AA9" s="15"/>
      <c r="AB9" s="15"/>
    </row>
    <row r="10" spans="3:28" ht="15" customHeight="1">
      <c r="C10" s="78" t="s">
        <v>167</v>
      </c>
      <c r="D10" s="190" t="s">
        <v>209</v>
      </c>
      <c r="E10" s="190"/>
      <c r="F10" s="222">
        <f>VLOOKUP(W25,V5:Z13,4)</f>
        <v>300</v>
      </c>
      <c r="G10" s="223"/>
      <c r="H10" s="81"/>
      <c r="I10" s="82" t="str">
        <f>+'設備更新補助金'!K11</f>
        <v>チェック　OK　②≦⑤</v>
      </c>
      <c r="J10" s="21"/>
      <c r="K10" s="8"/>
      <c r="L10" s="23" t="s">
        <v>26</v>
      </c>
      <c r="M10" s="219"/>
      <c r="O10" s="56"/>
      <c r="P10" s="55"/>
      <c r="Q10" s="55"/>
      <c r="R10" s="55"/>
      <c r="V10" s="9">
        <v>6</v>
      </c>
      <c r="W10" s="5" t="s">
        <v>26</v>
      </c>
      <c r="X10" s="65" t="s">
        <v>261</v>
      </c>
      <c r="Y10" s="64">
        <v>300</v>
      </c>
      <c r="Z10" s="64">
        <v>300000000</v>
      </c>
      <c r="AA10" s="15"/>
      <c r="AB10" s="15"/>
    </row>
    <row r="11" spans="3:28" ht="15" customHeight="1">
      <c r="C11" s="85" t="s">
        <v>168</v>
      </c>
      <c r="D11" s="218" t="s">
        <v>259</v>
      </c>
      <c r="E11" s="218"/>
      <c r="F11" s="216">
        <f>VLOOKUP(W25,V5:Z13,5)</f>
        <v>300000000</v>
      </c>
      <c r="G11" s="217"/>
      <c r="H11" s="81"/>
      <c r="I11" s="82" t="str">
        <f>+'設備更新補助金'!K12</f>
        <v>チェック　OK　③≦⑥</v>
      </c>
      <c r="J11" s="21"/>
      <c r="K11" s="21"/>
      <c r="L11" s="23" t="s">
        <v>175</v>
      </c>
      <c r="M11" s="23" t="s">
        <v>149</v>
      </c>
      <c r="O11" s="56"/>
      <c r="P11" s="55"/>
      <c r="Q11" s="55"/>
      <c r="R11" s="55"/>
      <c r="V11" s="2">
        <v>7</v>
      </c>
      <c r="W11" s="5" t="s">
        <v>176</v>
      </c>
      <c r="X11" s="64" t="s">
        <v>137</v>
      </c>
      <c r="Y11" s="64">
        <v>100</v>
      </c>
      <c r="Z11" s="64">
        <v>50000000</v>
      </c>
      <c r="AA11" s="15"/>
      <c r="AB11" s="15"/>
    </row>
    <row r="12" spans="3:26" ht="15" customHeight="1">
      <c r="C12" s="78" t="s">
        <v>169</v>
      </c>
      <c r="D12" s="190" t="s">
        <v>174</v>
      </c>
      <c r="E12" s="190"/>
      <c r="F12" s="231" t="str">
        <f>CHOOSE(W26,"している","していない")</f>
        <v>している</v>
      </c>
      <c r="G12" s="232"/>
      <c r="H12" s="79" t="s">
        <v>235</v>
      </c>
      <c r="I12" s="80" t="str">
        <f>+'設備更新補助金'!K13</f>
        <v>チェック　OK</v>
      </c>
      <c r="J12" s="8"/>
      <c r="K12" s="21"/>
      <c r="N12" s="56"/>
      <c r="O12" s="56"/>
      <c r="P12" s="55"/>
      <c r="Q12" s="55"/>
      <c r="R12" s="55"/>
      <c r="W12" s="5"/>
      <c r="X12" s="64"/>
      <c r="Y12" s="23"/>
      <c r="Z12" s="23"/>
    </row>
    <row r="13" spans="3:26" ht="15" customHeight="1">
      <c r="C13" s="78" t="s">
        <v>170</v>
      </c>
      <c r="D13" s="190" t="s">
        <v>243</v>
      </c>
      <c r="E13" s="190"/>
      <c r="F13" s="231" t="str">
        <f>CHOOSE(W27,"減少する","変わらない","増加する")</f>
        <v>減少する</v>
      </c>
      <c r="G13" s="232"/>
      <c r="H13" s="79" t="s">
        <v>235</v>
      </c>
      <c r="I13" s="82" t="str">
        <f>+'設備更新補助金'!K14</f>
        <v>チェック　エラー　要件は雇用規模維持又は拡大</v>
      </c>
      <c r="J13" s="21"/>
      <c r="K13" s="8"/>
      <c r="L13" s="56"/>
      <c r="M13" s="57"/>
      <c r="N13" s="56"/>
      <c r="O13" s="56"/>
      <c r="P13" s="55"/>
      <c r="Q13" s="55"/>
      <c r="R13" s="55"/>
      <c r="W13" s="5"/>
      <c r="X13" s="64"/>
      <c r="Y13" s="23"/>
      <c r="Z13" s="23"/>
    </row>
    <row r="14" spans="3:18" ht="15" customHeight="1">
      <c r="C14" s="78" t="s">
        <v>171</v>
      </c>
      <c r="D14" s="190" t="s">
        <v>52</v>
      </c>
      <c r="E14" s="190"/>
      <c r="F14" s="228">
        <v>0</v>
      </c>
      <c r="G14" s="229"/>
      <c r="H14" s="81" t="s">
        <v>238</v>
      </c>
      <c r="I14" s="82"/>
      <c r="J14" s="21"/>
      <c r="K14" s="21"/>
      <c r="L14" s="56"/>
      <c r="M14" s="58"/>
      <c r="O14" s="56"/>
      <c r="P14" s="59"/>
      <c r="Q14" s="59"/>
      <c r="R14" s="59"/>
    </row>
    <row r="15" spans="3:18" ht="15" customHeight="1">
      <c r="C15" s="78" t="s">
        <v>172</v>
      </c>
      <c r="D15" s="194" t="s">
        <v>134</v>
      </c>
      <c r="E15" s="194"/>
      <c r="F15" s="234">
        <f>+'設備更新補助金'!G16</f>
        <v>0</v>
      </c>
      <c r="G15" s="235"/>
      <c r="H15" s="81" t="s">
        <v>239</v>
      </c>
      <c r="I15" s="82"/>
      <c r="J15" s="21"/>
      <c r="K15" s="21"/>
      <c r="M15" s="58"/>
      <c r="O15" s="56"/>
      <c r="P15" s="59"/>
      <c r="Q15" s="59"/>
      <c r="R15" s="59"/>
    </row>
    <row r="16" spans="3:18" ht="15" customHeight="1">
      <c r="C16" s="74" t="s">
        <v>173</v>
      </c>
      <c r="D16" s="211" t="s">
        <v>164</v>
      </c>
      <c r="E16" s="211"/>
      <c r="F16" s="214">
        <f>+O6</f>
        <v>20000000</v>
      </c>
      <c r="G16" s="215"/>
      <c r="H16" s="68"/>
      <c r="I16" s="77" t="str">
        <f>+'設備更新補助金'!K17</f>
        <v>チェック　エラー　⑩＜⑪</v>
      </c>
      <c r="J16" s="21"/>
      <c r="K16" s="21"/>
      <c r="L16" s="22" t="s">
        <v>78</v>
      </c>
      <c r="M16" s="58"/>
      <c r="O16" s="56"/>
      <c r="P16" s="59"/>
      <c r="Q16" s="59"/>
      <c r="R16" s="59"/>
    </row>
    <row r="17" spans="3:16" ht="15" customHeight="1">
      <c r="C17" s="6"/>
      <c r="F17" s="16"/>
      <c r="K17" s="21"/>
      <c r="L17" s="23" t="s">
        <v>50</v>
      </c>
      <c r="M17" s="58"/>
      <c r="O17" s="56"/>
      <c r="P17" s="56"/>
    </row>
    <row r="18" spans="4:26" ht="22.5" customHeight="1">
      <c r="D18" s="7" t="s">
        <v>100</v>
      </c>
      <c r="E18" s="7"/>
      <c r="I18" s="8"/>
      <c r="J18" s="8"/>
      <c r="L18" s="23" t="s">
        <v>51</v>
      </c>
      <c r="O18" s="56"/>
      <c r="P18" s="56"/>
      <c r="X18" s="63" t="s">
        <v>53</v>
      </c>
      <c r="Y18" s="64" t="s">
        <v>54</v>
      </c>
      <c r="Z18" s="64" t="s">
        <v>55</v>
      </c>
    </row>
    <row r="19" spans="4:26" ht="15" customHeight="1">
      <c r="D19" s="46" t="s">
        <v>34</v>
      </c>
      <c r="E19" s="75"/>
      <c r="F19" s="47" t="str">
        <f>+'設備更新補助金'!E19</f>
        <v>×</v>
      </c>
      <c r="G19" s="192" t="str">
        <f>+'設備更新補助金'!F19</f>
        <v>要件を満たしていませんので不採択になります。</v>
      </c>
      <c r="H19" s="193"/>
      <c r="K19" s="8"/>
      <c r="L19" s="55"/>
      <c r="M19" s="57"/>
      <c r="O19" s="56"/>
      <c r="P19" s="56"/>
      <c r="V19" s="2">
        <v>1</v>
      </c>
      <c r="W19" s="5" t="s">
        <v>27</v>
      </c>
      <c r="X19" s="65" t="s">
        <v>261</v>
      </c>
      <c r="Y19" s="64">
        <v>300</v>
      </c>
      <c r="Z19" s="64">
        <v>300000000</v>
      </c>
    </row>
    <row r="20" spans="12:26" ht="15" customHeight="1">
      <c r="L20" s="59"/>
      <c r="O20" s="55"/>
      <c r="P20" s="55"/>
      <c r="Q20" s="55"/>
      <c r="R20" s="55"/>
      <c r="V20" s="2">
        <v>2</v>
      </c>
      <c r="W20" s="5" t="s">
        <v>27</v>
      </c>
      <c r="X20" s="64" t="s">
        <v>136</v>
      </c>
      <c r="Y20" s="64">
        <v>100</v>
      </c>
      <c r="Z20" s="64">
        <v>100000000</v>
      </c>
    </row>
    <row r="21" spans="9:26" ht="15" customHeight="1">
      <c r="I21" s="11"/>
      <c r="J21" s="11"/>
      <c r="L21" s="59" t="s">
        <v>227</v>
      </c>
      <c r="O21" s="59"/>
      <c r="P21" s="59"/>
      <c r="Q21" s="59"/>
      <c r="V21" s="2">
        <v>3</v>
      </c>
      <c r="W21" s="5" t="s">
        <v>27</v>
      </c>
      <c r="X21" s="64" t="s">
        <v>137</v>
      </c>
      <c r="Y21" s="64">
        <v>100</v>
      </c>
      <c r="Z21" s="64">
        <v>50000000</v>
      </c>
    </row>
    <row r="22" spans="3:26" ht="15" customHeight="1">
      <c r="C22" s="6"/>
      <c r="D22" s="3" t="s">
        <v>101</v>
      </c>
      <c r="E22" s="3"/>
      <c r="H22" s="11"/>
      <c r="I22" s="9"/>
      <c r="J22" s="9"/>
      <c r="K22" s="11"/>
      <c r="L22" s="64" t="s">
        <v>229</v>
      </c>
      <c r="M22" s="60"/>
      <c r="O22" s="59"/>
      <c r="P22" s="59"/>
      <c r="Q22" s="59"/>
      <c r="V22" s="2">
        <v>4</v>
      </c>
      <c r="W22" s="5" t="s">
        <v>27</v>
      </c>
      <c r="X22" s="64" t="s">
        <v>138</v>
      </c>
      <c r="Y22" s="64">
        <v>50</v>
      </c>
      <c r="Z22" s="64">
        <v>50000000</v>
      </c>
    </row>
    <row r="23" spans="4:17" ht="15" customHeight="1">
      <c r="D23" s="147"/>
      <c r="E23" s="233" t="s">
        <v>92</v>
      </c>
      <c r="F23" s="233"/>
      <c r="G23" s="70" t="s">
        <v>91</v>
      </c>
      <c r="I23" s="12"/>
      <c r="J23" s="12"/>
      <c r="K23" s="9"/>
      <c r="L23" s="23" t="s">
        <v>228</v>
      </c>
      <c r="M23" s="56"/>
      <c r="O23" s="59"/>
      <c r="P23" s="59"/>
      <c r="Q23" s="59"/>
    </row>
    <row r="24" spans="3:24" ht="15" customHeight="1">
      <c r="C24" s="6"/>
      <c r="D24" s="147" t="s">
        <v>95</v>
      </c>
      <c r="E24" s="230">
        <f>+'設備更新補助金'!J28</f>
      </c>
      <c r="F24" s="230"/>
      <c r="G24" s="71">
        <f>IF(E24="","","3年間")</f>
      </c>
      <c r="K24" s="12"/>
      <c r="L24" s="23" t="s">
        <v>230</v>
      </c>
      <c r="M24" s="61"/>
      <c r="W24" s="6"/>
      <c r="X24" s="24"/>
    </row>
    <row r="25" spans="23:24" ht="7.5" customHeight="1">
      <c r="W25" s="129">
        <v>1</v>
      </c>
      <c r="X25" s="23"/>
    </row>
    <row r="26" spans="15:24" ht="15" customHeight="1">
      <c r="O26" s="56"/>
      <c r="P26" s="56"/>
      <c r="W26" s="129">
        <v>1</v>
      </c>
      <c r="X26" s="23"/>
    </row>
    <row r="27" spans="15:24" ht="15" customHeight="1">
      <c r="O27" s="56"/>
      <c r="P27" s="56"/>
      <c r="Q27" s="56"/>
      <c r="R27" s="56"/>
      <c r="W27" s="129">
        <v>1</v>
      </c>
      <c r="X27" s="5"/>
    </row>
    <row r="28" spans="15:18" ht="15" customHeight="1">
      <c r="O28" s="56"/>
      <c r="P28" s="56"/>
      <c r="Q28" s="56"/>
      <c r="R28" s="56"/>
    </row>
    <row r="29" spans="15:16" ht="15" customHeight="1">
      <c r="O29" s="56"/>
      <c r="P29" s="56"/>
    </row>
    <row r="31" ht="15" customHeight="1">
      <c r="L31" s="2"/>
    </row>
  </sheetData>
  <sheetProtection password="DC84" sheet="1" objects="1" scenarios="1" selectLockedCells="1"/>
  <mergeCells count="26">
    <mergeCell ref="E24:F24"/>
    <mergeCell ref="F12:G12"/>
    <mergeCell ref="F13:G13"/>
    <mergeCell ref="F14:G14"/>
    <mergeCell ref="G19:H19"/>
    <mergeCell ref="E23:F23"/>
    <mergeCell ref="D14:E14"/>
    <mergeCell ref="D15:E15"/>
    <mergeCell ref="D16:E16"/>
    <mergeCell ref="F15:G15"/>
    <mergeCell ref="M5:M10"/>
    <mergeCell ref="D5:E5"/>
    <mergeCell ref="F5:G5"/>
    <mergeCell ref="D12:E12"/>
    <mergeCell ref="F10:G10"/>
    <mergeCell ref="F9:G9"/>
    <mergeCell ref="F6:G6"/>
    <mergeCell ref="F7:G7"/>
    <mergeCell ref="D6:E6"/>
    <mergeCell ref="D7:E7"/>
    <mergeCell ref="F16:G16"/>
    <mergeCell ref="F11:G11"/>
    <mergeCell ref="D9:E9"/>
    <mergeCell ref="D10:E10"/>
    <mergeCell ref="D11:E11"/>
    <mergeCell ref="D13:E13"/>
  </mergeCells>
  <printOptions/>
  <pageMargins left="0.16" right="0.16" top="0.7480314960629921" bottom="0.7480314960629921" header="0.31496062992125984" footer="0.31496062992125984"/>
  <pageSetup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4"/>
  <dimension ref="B2:Q29"/>
  <sheetViews>
    <sheetView zoomScaleSheetLayoutView="100" zoomScalePageLayoutView="0" workbookViewId="0" topLeftCell="A1">
      <selection activeCell="M1" sqref="M1:O16384"/>
    </sheetView>
  </sheetViews>
  <sheetFormatPr defaultColWidth="25.00390625" defaultRowHeight="15"/>
  <cols>
    <col min="1" max="1" width="4.7109375" style="26" customWidth="1"/>
    <col min="2" max="2" width="13.421875" style="26" customWidth="1"/>
    <col min="3" max="3" width="20.57421875" style="26" customWidth="1"/>
    <col min="4" max="4" width="13.7109375" style="26" customWidth="1"/>
    <col min="5" max="5" width="7.421875" style="26" customWidth="1"/>
    <col min="6" max="6" width="19.7109375" style="26" customWidth="1"/>
    <col min="7" max="7" width="10.421875" style="26" customWidth="1"/>
    <col min="8" max="8" width="10.28125" style="26" customWidth="1"/>
    <col min="9" max="9" width="11.140625" style="26" customWidth="1"/>
    <col min="10" max="10" width="10.57421875" style="26" customWidth="1"/>
    <col min="11" max="11" width="27.00390625" style="26" customWidth="1"/>
    <col min="12" max="12" width="25.00390625" style="26" customWidth="1"/>
    <col min="13" max="15" width="25.00390625" style="26" hidden="1" customWidth="1"/>
    <col min="16" max="16384" width="25.00390625" style="26" customWidth="1"/>
  </cols>
  <sheetData>
    <row r="2" spans="2:13" ht="18.75">
      <c r="B2" s="133" t="s">
        <v>0</v>
      </c>
      <c r="M2" s="25" t="s">
        <v>66</v>
      </c>
    </row>
    <row r="3" spans="2:13" ht="4.5" customHeight="1">
      <c r="B3" s="25"/>
      <c r="M3" s="25"/>
    </row>
    <row r="4" spans="2:14" ht="15" customHeight="1">
      <c r="B4" s="27"/>
      <c r="C4" s="28"/>
      <c r="D4" s="28"/>
      <c r="E4" s="28"/>
      <c r="F4" s="28"/>
      <c r="G4" s="28"/>
      <c r="H4" s="28"/>
      <c r="I4" s="28"/>
      <c r="J4" s="261"/>
      <c r="K4" s="262"/>
      <c r="M4" s="26" t="s">
        <v>17</v>
      </c>
      <c r="N4" s="26" t="s">
        <v>102</v>
      </c>
    </row>
    <row r="5" spans="2:15" ht="15" customHeight="1">
      <c r="B5" s="30" t="s">
        <v>28</v>
      </c>
      <c r="C5" s="31" t="s">
        <v>20</v>
      </c>
      <c r="F5" s="88" t="str">
        <f>+'記入シート１'!F5</f>
        <v>製造加工施設</v>
      </c>
      <c r="G5" s="31"/>
      <c r="H5" s="31"/>
      <c r="I5" s="31"/>
      <c r="J5" s="263"/>
      <c r="K5" s="264"/>
      <c r="M5" s="33"/>
      <c r="N5" s="33" t="s">
        <v>148</v>
      </c>
      <c r="O5" s="33" t="s">
        <v>146</v>
      </c>
    </row>
    <row r="6" spans="2:15" ht="15" customHeight="1">
      <c r="B6" s="30" t="s">
        <v>8</v>
      </c>
      <c r="C6" s="31" t="s">
        <v>4</v>
      </c>
      <c r="D6" s="31"/>
      <c r="E6" s="31"/>
      <c r="F6" s="88" t="str">
        <f>+'記入シート１'!F6</f>
        <v>新設</v>
      </c>
      <c r="G6" s="31"/>
      <c r="H6" s="31"/>
      <c r="I6" s="31"/>
      <c r="J6" s="236" t="str">
        <f>"チェック　"&amp;IF(OR(,F6=0),"エラー　未記入","OK")</f>
        <v>チェック　OK</v>
      </c>
      <c r="K6" s="237"/>
      <c r="M6" s="33" t="s">
        <v>5</v>
      </c>
      <c r="N6" s="33">
        <v>20000000</v>
      </c>
      <c r="O6" s="33">
        <v>15000000</v>
      </c>
    </row>
    <row r="7" spans="2:15" ht="15" customHeight="1">
      <c r="B7" s="30" t="s">
        <v>9</v>
      </c>
      <c r="C7" s="31" t="s">
        <v>144</v>
      </c>
      <c r="D7" s="31"/>
      <c r="E7" s="31"/>
      <c r="F7" s="88" t="str">
        <f>+'記入シート１'!F7</f>
        <v>食関連施設でない</v>
      </c>
      <c r="G7" s="31"/>
      <c r="H7" s="31"/>
      <c r="I7" s="31"/>
      <c r="J7" s="236" t="str">
        <f>"チェック　"&amp;IF(OR(,F7=0),"エラー　未記入","OK")</f>
        <v>チェック　OK</v>
      </c>
      <c r="K7" s="237"/>
      <c r="M7" s="33" t="s">
        <v>6</v>
      </c>
      <c r="N7" s="33">
        <v>20000000</v>
      </c>
      <c r="O7" s="33">
        <v>15000000</v>
      </c>
    </row>
    <row r="8" spans="2:15" ht="15" customHeight="1">
      <c r="B8" s="30" t="s">
        <v>10</v>
      </c>
      <c r="C8" s="31" t="s">
        <v>16</v>
      </c>
      <c r="D8" s="31"/>
      <c r="E8" s="31"/>
      <c r="F8" s="117">
        <f>+'記入シート１'!F8</f>
        <v>0</v>
      </c>
      <c r="G8" s="31"/>
      <c r="H8" s="31"/>
      <c r="I8" s="31"/>
      <c r="J8" s="240"/>
      <c r="K8" s="241"/>
      <c r="M8" s="35"/>
      <c r="N8" s="35"/>
      <c r="O8" s="35"/>
    </row>
    <row r="9" spans="2:15" ht="15" customHeight="1">
      <c r="B9" s="30" t="s">
        <v>244</v>
      </c>
      <c r="C9" s="246" t="s">
        <v>253</v>
      </c>
      <c r="D9" s="246"/>
      <c r="E9" s="246"/>
      <c r="F9" s="117" t="str">
        <f>'記入シート１'!F11</f>
        <v>増加する</v>
      </c>
      <c r="G9" s="31"/>
      <c r="H9" s="31"/>
      <c r="I9" s="31"/>
      <c r="J9" s="236" t="str">
        <f>"チェック　"&amp;IF(F6="増設",IF(F9="減少する","エラー　要件は雇用規模維持又は拡大","OK"),"OK")</f>
        <v>チェック　OK</v>
      </c>
      <c r="K9" s="237"/>
      <c r="L9" s="135"/>
      <c r="M9" s="35"/>
      <c r="N9" s="35"/>
      <c r="O9" s="35"/>
    </row>
    <row r="10" spans="2:15" ht="15" customHeight="1">
      <c r="B10" s="30" t="s">
        <v>245</v>
      </c>
      <c r="C10" s="31" t="s">
        <v>240</v>
      </c>
      <c r="D10" s="31"/>
      <c r="E10" s="31"/>
      <c r="F10" s="101">
        <f>+'記入シート１'!F12</f>
        <v>0</v>
      </c>
      <c r="G10" s="31"/>
      <c r="H10" s="31"/>
      <c r="I10" s="31"/>
      <c r="J10" s="267" t="str">
        <f>"チェック　"&amp;IF(F10&gt;=0,"OK","エラー　雇用減")</f>
        <v>チェック　OK</v>
      </c>
      <c r="K10" s="268"/>
      <c r="M10" s="35" t="s">
        <v>112</v>
      </c>
      <c r="N10" s="35"/>
      <c r="O10" s="35"/>
    </row>
    <row r="11" spans="2:15" ht="15" customHeight="1">
      <c r="B11" s="30" t="s">
        <v>246</v>
      </c>
      <c r="C11" s="31" t="s">
        <v>179</v>
      </c>
      <c r="D11" s="31"/>
      <c r="E11" s="31"/>
      <c r="F11" s="117">
        <f>ROUNDDOWN(+F8*0.7,0)</f>
        <v>0</v>
      </c>
      <c r="G11" s="31" t="s">
        <v>180</v>
      </c>
      <c r="H11" s="31"/>
      <c r="I11" s="31"/>
      <c r="J11" s="240"/>
      <c r="K11" s="241"/>
      <c r="M11" s="33" t="s">
        <v>5</v>
      </c>
      <c r="N11" s="33">
        <v>50000000</v>
      </c>
      <c r="O11" s="35"/>
    </row>
    <row r="12" spans="2:15" ht="15" customHeight="1">
      <c r="B12" s="30" t="s">
        <v>247</v>
      </c>
      <c r="C12" s="31" t="s">
        <v>135</v>
      </c>
      <c r="F12" s="89">
        <f>IF(OR(F5=0,F6=0,F7=0),"",IF(F7="食関連施設でない",VLOOKUP(F6,M5:O7,2),VLOOKUP(F6,M5:O7,3)))</f>
        <v>20000000</v>
      </c>
      <c r="G12" s="31"/>
      <c r="H12" s="31"/>
      <c r="I12" s="31"/>
      <c r="J12" s="236" t="str">
        <f>"チェック　"&amp;IF(F11&gt;=F12,"OK　⑦≧⑧","エラー　、⑦＜⑧")</f>
        <v>チェック　エラー　、⑦＜⑧</v>
      </c>
      <c r="K12" s="237"/>
      <c r="M12" s="33" t="s">
        <v>6</v>
      </c>
      <c r="N12" s="33">
        <v>20000000</v>
      </c>
      <c r="O12" s="35"/>
    </row>
    <row r="13" spans="2:11" ht="15" customHeight="1">
      <c r="B13" s="30"/>
      <c r="C13" s="31"/>
      <c r="D13" s="31"/>
      <c r="E13" s="31"/>
      <c r="F13" s="31"/>
      <c r="G13" s="31"/>
      <c r="H13" s="31"/>
      <c r="I13" s="31"/>
      <c r="J13" s="238"/>
      <c r="K13" s="239"/>
    </row>
    <row r="14" spans="2:11" ht="15" customHeight="1">
      <c r="B14" s="36"/>
      <c r="C14" s="37"/>
      <c r="D14" s="37"/>
      <c r="E14" s="37"/>
      <c r="F14" s="37"/>
      <c r="G14" s="37"/>
      <c r="H14" s="37"/>
      <c r="I14" s="37"/>
      <c r="J14" s="238"/>
      <c r="K14" s="239"/>
    </row>
    <row r="15" spans="2:11" ht="15" customHeight="1">
      <c r="B15" s="36"/>
      <c r="C15" s="38" t="s">
        <v>34</v>
      </c>
      <c r="D15" s="166"/>
      <c r="E15" s="39" t="str">
        <f>IF(F6="新設",IF(AND(F11&gt;=F12,F10&gt;=0,F9="増加する"),"◯","×"),IF(AND(F11&gt;=F12,F10&gt;=0,OR(F9="増加する",F9="変わらない")),"◯","×"))</f>
        <v>×</v>
      </c>
      <c r="F15" s="265" t="str">
        <f>IF(F6=0,"新設・増設が未記入です。",IF(F7=0,"食品関連業種である・ないが未記入です。",IF(F6="新設",IF(AND(F11&gt;=F12,F10&gt;=0,F9="増加する"),"要件を満たしていますので採択になります。","要件を満たしていませんので不採択になります。"),IF(F6="増設",IF(AND(F11&gt;=F12,F10&gt;=0,OR(F9="増加する",F9="変わらない")),"要件を満たしていますので採択になります。","要件を満たしていませんので不採択になります。")))))</f>
        <v>要件を満たしていませんので不採択になります。</v>
      </c>
      <c r="G15" s="265"/>
      <c r="H15" s="265"/>
      <c r="I15" s="266"/>
      <c r="J15" s="238"/>
      <c r="K15" s="239"/>
    </row>
    <row r="16" spans="2:11" ht="13.5">
      <c r="B16" s="40"/>
      <c r="C16" s="41"/>
      <c r="D16" s="41"/>
      <c r="E16" s="41"/>
      <c r="F16" s="41"/>
      <c r="G16" s="41"/>
      <c r="H16" s="41"/>
      <c r="I16" s="41"/>
      <c r="J16" s="257"/>
      <c r="K16" s="258"/>
    </row>
    <row r="17" spans="2:17" ht="13.5">
      <c r="B17" s="35"/>
      <c r="C17" s="35"/>
      <c r="D17" s="35"/>
      <c r="E17" s="35"/>
      <c r="F17" s="35"/>
      <c r="G17" s="35"/>
      <c r="H17" s="35"/>
      <c r="I17" s="35"/>
      <c r="J17" s="35"/>
      <c r="K17" s="35"/>
      <c r="L17" s="170"/>
      <c r="M17" s="170"/>
      <c r="N17" s="170"/>
      <c r="O17" s="170"/>
      <c r="P17" s="170"/>
      <c r="Q17" s="170"/>
    </row>
    <row r="18" spans="12:17" ht="15" customHeight="1">
      <c r="L18" s="170"/>
      <c r="M18" s="170"/>
      <c r="N18" s="170"/>
      <c r="O18" s="170"/>
      <c r="P18" s="170"/>
      <c r="Q18" s="170"/>
    </row>
    <row r="19" spans="2:17" ht="15" customHeight="1">
      <c r="B19" s="26" t="s">
        <v>44</v>
      </c>
      <c r="J19" s="86" t="s">
        <v>190</v>
      </c>
      <c r="K19" s="86"/>
      <c r="L19" s="170"/>
      <c r="M19" s="170"/>
      <c r="N19" s="170"/>
      <c r="O19" s="170"/>
      <c r="P19" s="170"/>
      <c r="Q19" s="170"/>
    </row>
    <row r="20" spans="2:17" ht="15" customHeight="1">
      <c r="B20" s="255" t="s">
        <v>3</v>
      </c>
      <c r="C20" s="255" t="s">
        <v>2</v>
      </c>
      <c r="D20" s="247" t="s">
        <v>184</v>
      </c>
      <c r="E20" s="248"/>
      <c r="F20" s="102" t="s">
        <v>185</v>
      </c>
      <c r="G20" s="259" t="s">
        <v>186</v>
      </c>
      <c r="H20" s="260"/>
      <c r="I20" s="249" t="s">
        <v>12</v>
      </c>
      <c r="J20" s="250"/>
      <c r="L20" s="170"/>
      <c r="M20" s="170"/>
      <c r="N20" s="170"/>
      <c r="O20" s="170"/>
      <c r="P20" s="170"/>
      <c r="Q20" s="170"/>
    </row>
    <row r="21" spans="2:17" ht="15" customHeight="1">
      <c r="B21" s="256"/>
      <c r="C21" s="256"/>
      <c r="D21" s="269" t="s">
        <v>73</v>
      </c>
      <c r="E21" s="270"/>
      <c r="F21" s="103" t="s">
        <v>71</v>
      </c>
      <c r="G21" s="244" t="s">
        <v>72</v>
      </c>
      <c r="H21" s="245"/>
      <c r="I21" s="249"/>
      <c r="J21" s="250"/>
      <c r="L21" s="170"/>
      <c r="M21" s="170"/>
      <c r="N21" s="170"/>
      <c r="O21" s="170"/>
      <c r="P21" s="170"/>
      <c r="Q21" s="170"/>
    </row>
    <row r="22" spans="2:17" ht="45" customHeight="1">
      <c r="B22" s="33" t="s">
        <v>19</v>
      </c>
      <c r="C22" s="43" t="s">
        <v>187</v>
      </c>
      <c r="D22" s="271">
        <f>(IF($E$15="×","",ROUNDDOWN(F11,-3)))</f>
      </c>
      <c r="E22" s="272"/>
      <c r="F22" s="43">
        <f>IF($E$15="×","",ROUNDDOWN(D22*0.8,-3))</f>
      </c>
      <c r="G22" s="271">
        <f>IF($E$15="×","",ROUNDDOWN(F22*0.8,-3))</f>
      </c>
      <c r="H22" s="272"/>
      <c r="I22" s="251"/>
      <c r="J22" s="252"/>
      <c r="L22" s="170"/>
      <c r="M22" s="170"/>
      <c r="N22" s="170"/>
      <c r="O22" s="170"/>
      <c r="P22" s="170"/>
      <c r="Q22" s="170"/>
    </row>
    <row r="23" spans="2:17" ht="15" customHeight="1">
      <c r="B23" s="33" t="s">
        <v>1</v>
      </c>
      <c r="C23" s="33" t="s">
        <v>181</v>
      </c>
      <c r="D23" s="253">
        <f>IF(E15="×","",ROUNDDOWN(+D22*1.4%,-2))</f>
      </c>
      <c r="E23" s="254"/>
      <c r="F23" s="33">
        <f>IF(E15="×","",ROUNDDOWN(+F22*1.4%,-2))</f>
      </c>
      <c r="G23" s="253">
        <f>IF(E15="×","",ROUNDDOWN(+G22*1.4%,-2))</f>
      </c>
      <c r="H23" s="254"/>
      <c r="I23" s="251"/>
      <c r="J23" s="252"/>
      <c r="L23" s="170"/>
      <c r="M23" s="170"/>
      <c r="N23" s="170"/>
      <c r="O23" s="170"/>
      <c r="P23" s="170"/>
      <c r="Q23" s="170"/>
    </row>
    <row r="24" spans="12:17" ht="15" customHeight="1">
      <c r="L24" s="170"/>
      <c r="M24" s="170"/>
      <c r="N24" s="170"/>
      <c r="O24" s="170"/>
      <c r="P24" s="170"/>
      <c r="Q24" s="170"/>
    </row>
    <row r="25" spans="2:17" ht="23.25" customHeight="1">
      <c r="B25" s="242" t="s">
        <v>18</v>
      </c>
      <c r="C25" s="243"/>
      <c r="D25" s="242">
        <f>IF(E15="×","",IF(F6="新設",IF(+D23&lt;=N11,D23,N11),IF(+D23&lt;=N12,D23,N12)))</f>
      </c>
      <c r="E25" s="243"/>
      <c r="F25" s="44">
        <f>IF(E15="×","",IF(F6="新設",IF(+F23&lt;=N11,F23,N11),IF(+F23&lt;=N12,F23,N12)))</f>
      </c>
      <c r="G25" s="242">
        <f>IF(E15="×","",IF(F6="新設",IF(+G23&lt;=N11,G23,N11),IF(+G23&lt;=N12,G23,N12)))</f>
      </c>
      <c r="H25" s="243"/>
      <c r="I25" s="242">
        <f>IF(E15="×","",SUM(D25:G25))</f>
      </c>
      <c r="J25" s="243"/>
      <c r="L25" s="170"/>
      <c r="M25" s="170"/>
      <c r="N25" s="170"/>
      <c r="O25" s="170"/>
      <c r="P25" s="170"/>
      <c r="Q25" s="170"/>
    </row>
    <row r="26" spans="10:11" ht="15" customHeight="1">
      <c r="J26" s="86" t="s">
        <v>232</v>
      </c>
      <c r="K26" s="86"/>
    </row>
    <row r="27" ht="15" customHeight="1">
      <c r="B27" s="26" t="s">
        <v>182</v>
      </c>
    </row>
    <row r="28" ht="15" customHeight="1">
      <c r="B28" s="26" t="s">
        <v>183</v>
      </c>
    </row>
    <row r="29" ht="15" customHeight="1">
      <c r="B29" s="26" t="s">
        <v>195</v>
      </c>
    </row>
    <row r="31" ht="15" customHeight="1"/>
  </sheetData>
  <sheetProtection password="DC84" sheet="1" objects="1" scenarios="1" selectLockedCells="1"/>
  <mergeCells count="32">
    <mergeCell ref="B25:C25"/>
    <mergeCell ref="D21:E21"/>
    <mergeCell ref="D25:E25"/>
    <mergeCell ref="D22:E22"/>
    <mergeCell ref="D23:E23"/>
    <mergeCell ref="G22:H22"/>
    <mergeCell ref="B20:B21"/>
    <mergeCell ref="J16:K16"/>
    <mergeCell ref="G20:H20"/>
    <mergeCell ref="J4:K4"/>
    <mergeCell ref="J6:K6"/>
    <mergeCell ref="J5:K5"/>
    <mergeCell ref="J7:K7"/>
    <mergeCell ref="F15:I15"/>
    <mergeCell ref="J15:K15"/>
    <mergeCell ref="C20:C21"/>
    <mergeCell ref="C9:E9"/>
    <mergeCell ref="D20:E20"/>
    <mergeCell ref="J13:K13"/>
    <mergeCell ref="I20:J21"/>
    <mergeCell ref="I22:J22"/>
    <mergeCell ref="I23:J23"/>
    <mergeCell ref="G23:H23"/>
    <mergeCell ref="J10:K10"/>
    <mergeCell ref="J11:K11"/>
    <mergeCell ref="J12:K12"/>
    <mergeCell ref="J14:K14"/>
    <mergeCell ref="J8:K8"/>
    <mergeCell ref="J9:K9"/>
    <mergeCell ref="I25:J25"/>
    <mergeCell ref="G21:H21"/>
    <mergeCell ref="G25:H25"/>
  </mergeCells>
  <printOptions/>
  <pageMargins left="0.37" right="0.16" top="0.75" bottom="0.75" header="0.3" footer="0.3"/>
  <pageSetup horizontalDpi="300" verticalDpi="300" orientation="landscape" paperSize="9" r:id="rId1"/>
  <colBreaks count="1" manualBreakCount="1">
    <brk id="11" max="24" man="1"/>
  </colBreaks>
</worksheet>
</file>

<file path=xl/worksheets/sheet5.xml><?xml version="1.0" encoding="utf-8"?>
<worksheet xmlns="http://schemas.openxmlformats.org/spreadsheetml/2006/main" xmlns:r="http://schemas.openxmlformats.org/officeDocument/2006/relationships">
  <sheetPr codeName="Sheet5"/>
  <dimension ref="A2:P38"/>
  <sheetViews>
    <sheetView zoomScaleSheetLayoutView="100" zoomScalePageLayoutView="0" workbookViewId="0" topLeftCell="A1">
      <selection activeCell="A1" sqref="A1"/>
    </sheetView>
  </sheetViews>
  <sheetFormatPr defaultColWidth="25.00390625" defaultRowHeight="15"/>
  <cols>
    <col min="1" max="1" width="4.7109375" style="26" customWidth="1"/>
    <col min="2" max="2" width="19.28125" style="26" customWidth="1"/>
    <col min="3" max="3" width="11.421875" style="26" customWidth="1"/>
    <col min="4" max="4" width="9.28125" style="26" customWidth="1"/>
    <col min="5" max="5" width="11.57421875" style="26" customWidth="1"/>
    <col min="6" max="6" width="9.28125" style="26" customWidth="1"/>
    <col min="7" max="7" width="17.421875" style="26" customWidth="1"/>
    <col min="8" max="8" width="5.421875" style="26" customWidth="1"/>
    <col min="9" max="9" width="22.421875" style="26" customWidth="1"/>
    <col min="10" max="10" width="3.7109375" style="26" customWidth="1"/>
    <col min="11" max="11" width="14.421875" style="26" customWidth="1"/>
    <col min="12" max="12" width="22.8515625" style="26" customWidth="1"/>
    <col min="13" max="16" width="0" style="26" hidden="1" customWidth="1"/>
    <col min="17" max="16384" width="25.00390625" style="26" customWidth="1"/>
  </cols>
  <sheetData>
    <row r="2" spans="2:13" ht="18.75">
      <c r="B2" s="133" t="s">
        <v>13</v>
      </c>
      <c r="M2" s="25" t="s">
        <v>66</v>
      </c>
    </row>
    <row r="3" spans="2:13" ht="4.5" customHeight="1">
      <c r="B3" s="25"/>
      <c r="M3" s="25"/>
    </row>
    <row r="4" spans="2:13" ht="15" customHeight="1">
      <c r="B4" s="27"/>
      <c r="C4" s="28"/>
      <c r="D4" s="28"/>
      <c r="E4" s="28"/>
      <c r="F4" s="28"/>
      <c r="G4" s="28"/>
      <c r="H4" s="28"/>
      <c r="I4" s="28"/>
      <c r="J4" s="28"/>
      <c r="K4" s="123"/>
      <c r="L4" s="124"/>
      <c r="M4" s="26" t="s">
        <v>103</v>
      </c>
    </row>
    <row r="5" spans="2:16" ht="15" customHeight="1">
      <c r="B5" s="30" t="s">
        <v>28</v>
      </c>
      <c r="C5" s="31" t="s">
        <v>20</v>
      </c>
      <c r="D5" s="35"/>
      <c r="E5" s="35"/>
      <c r="F5" s="35"/>
      <c r="G5" s="88" t="str">
        <f>+'記入シート１'!F5</f>
        <v>製造加工施設</v>
      </c>
      <c r="H5" s="104"/>
      <c r="I5" s="31"/>
      <c r="J5" s="31"/>
      <c r="K5" s="87"/>
      <c r="L5" s="32"/>
      <c r="M5" s="149"/>
      <c r="N5" s="33" t="s">
        <v>145</v>
      </c>
      <c r="O5" s="33" t="s">
        <v>146</v>
      </c>
      <c r="P5" s="33" t="s">
        <v>105</v>
      </c>
    </row>
    <row r="6" spans="2:16" ht="15" customHeight="1">
      <c r="B6" s="30" t="s">
        <v>8</v>
      </c>
      <c r="C6" s="31" t="s">
        <v>4</v>
      </c>
      <c r="D6" s="31"/>
      <c r="E6" s="31"/>
      <c r="F6" s="31"/>
      <c r="G6" s="88" t="str">
        <f>+'記入シート１'!F6</f>
        <v>新設</v>
      </c>
      <c r="H6" s="88"/>
      <c r="I6" s="31"/>
      <c r="J6" s="31"/>
      <c r="K6" s="273" t="str">
        <f>"チェック　"&amp;IF(OR(,G6=0),"エラー　未記入","OK")</f>
        <v>チェック　OK</v>
      </c>
      <c r="L6" s="274"/>
      <c r="M6" s="149" t="s">
        <v>5</v>
      </c>
      <c r="N6" s="33">
        <v>50000000</v>
      </c>
      <c r="O6" s="33">
        <v>30000000</v>
      </c>
      <c r="P6" s="33">
        <v>5</v>
      </c>
    </row>
    <row r="7" spans="2:16" ht="15" customHeight="1">
      <c r="B7" s="30" t="s">
        <v>9</v>
      </c>
      <c r="C7" s="31" t="s">
        <v>144</v>
      </c>
      <c r="D7" s="31"/>
      <c r="E7" s="31"/>
      <c r="F7" s="31"/>
      <c r="G7" s="88" t="str">
        <f>+'記入シート１'!F7</f>
        <v>食関連施設でない</v>
      </c>
      <c r="H7" s="88"/>
      <c r="I7" s="31"/>
      <c r="J7" s="31"/>
      <c r="K7" s="273" t="str">
        <f>"チェック　"&amp;IF(OR(,G7=0),"エラー　未記入","OK")</f>
        <v>チェック　OK</v>
      </c>
      <c r="L7" s="274"/>
      <c r="M7" s="149" t="s">
        <v>6</v>
      </c>
      <c r="N7" s="33">
        <v>20000000</v>
      </c>
      <c r="O7" s="33">
        <v>15000000</v>
      </c>
      <c r="P7" s="33">
        <v>3</v>
      </c>
    </row>
    <row r="8" spans="2:16" ht="15" customHeight="1">
      <c r="B8" s="30" t="s">
        <v>10</v>
      </c>
      <c r="C8" s="31" t="s">
        <v>16</v>
      </c>
      <c r="D8" s="31"/>
      <c r="E8" s="31"/>
      <c r="F8" s="31"/>
      <c r="G8" s="117">
        <f>+'記入シート１'!F8</f>
        <v>0</v>
      </c>
      <c r="H8" s="89"/>
      <c r="I8" s="31"/>
      <c r="J8" s="31"/>
      <c r="K8" s="110"/>
      <c r="L8" s="163"/>
      <c r="M8" s="35"/>
      <c r="N8" s="35"/>
      <c r="O8" s="35"/>
      <c r="P8" s="35"/>
    </row>
    <row r="9" spans="2:16" ht="15" customHeight="1">
      <c r="B9" s="30" t="s">
        <v>244</v>
      </c>
      <c r="C9" s="246" t="s">
        <v>252</v>
      </c>
      <c r="D9" s="246"/>
      <c r="E9" s="246"/>
      <c r="F9" s="246"/>
      <c r="G9" s="117" t="str">
        <f>'記入シート１'!F11</f>
        <v>増加する</v>
      </c>
      <c r="H9" s="89"/>
      <c r="I9" s="31"/>
      <c r="J9" s="31"/>
      <c r="K9" s="236" t="str">
        <f>"チェック　"&amp;IF(G6="増設",IF(G9="減少する","エラー　要件は雇用規模維持又は拡大","OK"),"OK")</f>
        <v>チェック　OK</v>
      </c>
      <c r="L9" s="237"/>
      <c r="M9" s="35"/>
      <c r="N9" s="35"/>
      <c r="O9" s="35"/>
      <c r="P9" s="35"/>
    </row>
    <row r="10" spans="2:16" ht="15" customHeight="1">
      <c r="B10" s="30" t="s">
        <v>245</v>
      </c>
      <c r="C10" s="31" t="s">
        <v>14</v>
      </c>
      <c r="D10" s="31"/>
      <c r="E10" s="31"/>
      <c r="F10" s="31"/>
      <c r="G10" s="101">
        <f>+'記入シート１'!F12</f>
        <v>0</v>
      </c>
      <c r="H10" s="90"/>
      <c r="I10" s="31"/>
      <c r="J10" s="31"/>
      <c r="K10" s="273" t="str">
        <f>"チェック　"&amp;IF(G6="新設",IF(G10&gt;=P6,"OK","エラー　要件は人数"&amp;P6&amp;"人以上"),IF(G10&gt;=P7,"OK","エラー　要件は人数"&amp;P7&amp;"人以上"))</f>
        <v>チェック　エラー　要件は人数5人以上</v>
      </c>
      <c r="L10" s="274"/>
      <c r="M10" s="35" t="s">
        <v>111</v>
      </c>
      <c r="N10" s="35"/>
      <c r="O10" s="35"/>
      <c r="P10" s="35"/>
    </row>
    <row r="11" spans="2:16" ht="15" customHeight="1">
      <c r="B11" s="30" t="s">
        <v>246</v>
      </c>
      <c r="C11" s="31" t="s">
        <v>179</v>
      </c>
      <c r="D11" s="31"/>
      <c r="E11" s="31"/>
      <c r="F11" s="31"/>
      <c r="G11" s="117">
        <f>ROUNDDOWN(+G8*0.7,0)</f>
        <v>0</v>
      </c>
      <c r="H11" s="31" t="s">
        <v>188</v>
      </c>
      <c r="I11" s="31"/>
      <c r="J11" s="31"/>
      <c r="K11" s="110"/>
      <c r="L11" s="163"/>
      <c r="M11" s="149">
        <v>10000000</v>
      </c>
      <c r="N11" s="35"/>
      <c r="O11" s="35"/>
      <c r="P11" s="35"/>
    </row>
    <row r="12" spans="2:12" ht="15" customHeight="1">
      <c r="B12" s="30" t="s">
        <v>247</v>
      </c>
      <c r="C12" s="31" t="s">
        <v>135</v>
      </c>
      <c r="D12" s="35"/>
      <c r="E12" s="35"/>
      <c r="F12" s="35"/>
      <c r="G12" s="89">
        <f>IF(OR(G5=0,G6=0,G7=0,),"",IF(G7="食関連施設でない",VLOOKUP(G6,M5:O7,2),VLOOKUP(G6,M5:O7,3)))</f>
        <v>50000000</v>
      </c>
      <c r="H12" s="89"/>
      <c r="I12" s="31"/>
      <c r="J12" s="31"/>
      <c r="K12" s="273" t="str">
        <f>"チェック　"&amp;IF(G11&gt;=G12,"OK　⑦≧⑧","エラー　⑦＜⑧")</f>
        <v>チェック　エラー　⑦＜⑧</v>
      </c>
      <c r="L12" s="274"/>
    </row>
    <row r="13" spans="2:12" ht="15" customHeight="1">
      <c r="B13" s="30"/>
      <c r="C13" s="37"/>
      <c r="D13" s="37"/>
      <c r="E13" s="37"/>
      <c r="F13" s="37"/>
      <c r="G13" s="37"/>
      <c r="H13" s="37"/>
      <c r="I13" s="37"/>
      <c r="J13" s="37"/>
      <c r="K13" s="110"/>
      <c r="L13" s="163"/>
    </row>
    <row r="14" spans="2:12" ht="15" customHeight="1">
      <c r="B14" s="36"/>
      <c r="C14" s="38" t="s">
        <v>34</v>
      </c>
      <c r="D14" s="160"/>
      <c r="E14" s="166"/>
      <c r="F14" s="39" t="str">
        <f>IF(G6="新設",IF(AND(G11&gt;=G12,G10&gt;=5,G9="増加する"),"◯","×"),IF(AND(G11&gt;=G12,G10&gt;=3,OR(G9="増加する",G9="変わらない")),"◯","×"))</f>
        <v>×</v>
      </c>
      <c r="G14" s="265" t="str">
        <f>IF(G6=0,"新設・増設が未記入です。",IF(G7=0,"食品関連業種である・ないが未記入です。",IF(G6="新設",IF(AND(G11&gt;=G12,G10&gt;=5,G9="増加する",),"要件を満たしていますので採択になります。","要件を満たしていませんので不採択になります。"),IF(AND(G11&gt;=G12,G10&gt;=3,OR(G9="増加する",G9="変わらない")),"要件を満たしていますので採択になります。","要件を満たしていませんので不採択になります。"))))</f>
        <v>要件を満たしていませんので不採択になります。</v>
      </c>
      <c r="H14" s="265"/>
      <c r="I14" s="265"/>
      <c r="J14" s="266"/>
      <c r="K14" s="111"/>
      <c r="L14" s="164"/>
    </row>
    <row r="15" spans="2:12" ht="15" customHeight="1">
      <c r="B15" s="30"/>
      <c r="C15" s="92"/>
      <c r="D15" s="92"/>
      <c r="E15" s="92"/>
      <c r="F15" s="92"/>
      <c r="G15" s="92"/>
      <c r="H15" s="92"/>
      <c r="I15" s="92"/>
      <c r="J15" s="92"/>
      <c r="K15" s="110"/>
      <c r="L15" s="163"/>
    </row>
    <row r="16" spans="2:12" ht="15" customHeight="1">
      <c r="B16" s="30" t="s">
        <v>32</v>
      </c>
      <c r="C16" s="275" t="s">
        <v>31</v>
      </c>
      <c r="D16" s="275"/>
      <c r="E16" s="275"/>
      <c r="F16" s="275"/>
      <c r="G16" s="101">
        <f>+'記入シート１'!F16</f>
        <v>0</v>
      </c>
      <c r="H16" s="93"/>
      <c r="I16" s="31"/>
      <c r="J16" s="31"/>
      <c r="K16" s="273" t="str">
        <f>"チェック　"&amp;IF(G6="増設",IF(G16&gt;=1,"OK（"&amp;G6&amp;"⑨≧1人）","入力エラー（"&amp;G6&amp;"⑨＝0人）"),IF(G6="新設",IF(G16=0,"OK（"&amp;G6&amp;"⑨＝0人）","入力エラー（"&amp;G6&amp;"⑨＞0人）")))</f>
        <v>チェック　OK（新設⑨＝0人）</v>
      </c>
      <c r="L16" s="274"/>
    </row>
    <row r="17" spans="2:12" ht="15" customHeight="1">
      <c r="B17" s="30" t="s">
        <v>151</v>
      </c>
      <c r="C17" s="31" t="s">
        <v>250</v>
      </c>
      <c r="D17" s="31"/>
      <c r="E17" s="276">
        <f>+G10+G16</f>
        <v>0</v>
      </c>
      <c r="F17" s="276"/>
      <c r="G17" s="276"/>
      <c r="H17" s="93"/>
      <c r="I17" s="31"/>
      <c r="J17" s="31"/>
      <c r="K17" s="110"/>
      <c r="L17" s="163"/>
    </row>
    <row r="18" spans="2:12" ht="15" customHeight="1">
      <c r="B18" s="36"/>
      <c r="C18" s="37"/>
      <c r="D18" s="37"/>
      <c r="E18" s="37"/>
      <c r="F18" s="37"/>
      <c r="G18" s="37"/>
      <c r="H18" s="37"/>
      <c r="I18" s="37"/>
      <c r="J18" s="37"/>
      <c r="K18" s="110"/>
      <c r="L18" s="163"/>
    </row>
    <row r="19" spans="2:12" ht="15" customHeight="1">
      <c r="B19" s="36"/>
      <c r="C19" s="38" t="s">
        <v>33</v>
      </c>
      <c r="D19" s="160"/>
      <c r="E19" s="166"/>
      <c r="F19" s="39" t="str">
        <f>+F14</f>
        <v>×</v>
      </c>
      <c r="G19" s="265" t="str">
        <f>IF(G6="新設",IF(AND(G11&gt;=G12,G10&gt;=5),IF(E17&gt;=100,"10年間","5年間"),G14),IF(AND(G11&gt;=G12,G10&gt;=3,OR(G9="増加する",G9="変わらない")),IF(E17&gt;=100,"10年間","5年間"),G14))</f>
        <v>要件を満たしていませんので不採択になります。</v>
      </c>
      <c r="H19" s="265"/>
      <c r="I19" s="265"/>
      <c r="J19" s="266"/>
      <c r="K19" s="111"/>
      <c r="L19" s="164"/>
    </row>
    <row r="20" spans="2:12" ht="15" customHeight="1">
      <c r="B20" s="36"/>
      <c r="C20" s="92"/>
      <c r="D20" s="92"/>
      <c r="E20" s="92"/>
      <c r="F20" s="92"/>
      <c r="G20" s="92"/>
      <c r="H20" s="92"/>
      <c r="I20" s="92"/>
      <c r="J20" s="92"/>
      <c r="K20" s="110"/>
      <c r="L20" s="163"/>
    </row>
    <row r="21" spans="2:12" ht="15" customHeight="1">
      <c r="B21" s="30" t="s">
        <v>67</v>
      </c>
      <c r="C21" s="31" t="s">
        <v>35</v>
      </c>
      <c r="D21" s="31"/>
      <c r="E21" s="31"/>
      <c r="F21" s="31"/>
      <c r="G21" s="101">
        <f>+'記入シート１'!F13</f>
        <v>0</v>
      </c>
      <c r="H21" s="93"/>
      <c r="I21" s="31"/>
      <c r="J21" s="31"/>
      <c r="K21" s="110"/>
      <c r="L21" s="163"/>
    </row>
    <row r="22" spans="2:12" ht="15" customHeight="1">
      <c r="B22" s="30" t="s">
        <v>116</v>
      </c>
      <c r="C22" s="238" t="s">
        <v>36</v>
      </c>
      <c r="D22" s="238"/>
      <c r="E22" s="238"/>
      <c r="F22" s="31"/>
      <c r="G22" s="101">
        <f>+'記入シート１'!F14</f>
        <v>0</v>
      </c>
      <c r="H22" s="93"/>
      <c r="I22" s="87"/>
      <c r="J22" s="31"/>
      <c r="K22" s="109"/>
      <c r="L22" s="162"/>
    </row>
    <row r="23" spans="2:12" ht="15" customHeight="1">
      <c r="B23" s="30" t="s">
        <v>191</v>
      </c>
      <c r="C23" s="275" t="s">
        <v>43</v>
      </c>
      <c r="D23" s="275"/>
      <c r="E23" s="275"/>
      <c r="F23" s="275"/>
      <c r="G23" s="101">
        <f>+'記入シート１'!F15</f>
        <v>0</v>
      </c>
      <c r="H23" s="93"/>
      <c r="I23" s="87"/>
      <c r="J23" s="31"/>
      <c r="K23" s="273" t="str">
        <f>"チェック　"&amp;IF(G21&gt;=G23,"OK（⑩a≧⑩c）","入力エラー（⑩a＜⑩c）")</f>
        <v>チェック　OK（⑩a≧⑩c）</v>
      </c>
      <c r="L23" s="274"/>
    </row>
    <row r="24" spans="2:12" ht="15" customHeight="1">
      <c r="B24" s="94"/>
      <c r="C24" s="118"/>
      <c r="D24" s="118"/>
      <c r="E24" s="118"/>
      <c r="F24" s="118"/>
      <c r="G24" s="154"/>
      <c r="H24" s="155"/>
      <c r="I24" s="134"/>
      <c r="J24" s="35"/>
      <c r="K24" s="109"/>
      <c r="L24" s="162"/>
    </row>
    <row r="25" spans="2:12" ht="15" customHeight="1">
      <c r="B25" s="94"/>
      <c r="C25" s="38" t="s">
        <v>84</v>
      </c>
      <c r="D25" s="160"/>
      <c r="E25" s="166"/>
      <c r="F25" s="39" t="str">
        <f>IF(AND(F19="◯",G10=G21+G22,G21&gt;=G23),IF(G6="増設",IF(G16&gt;=1,"◯","×"),IF(G6="新設",IF(G16=0,"◯","×"))),"×")</f>
        <v>×</v>
      </c>
      <c r="G25" s="265" t="str">
        <f>IF(F25="◯","適正に入力されています。","入力エラー、見直ししてください。")</f>
        <v>入力エラー、見直ししてください。</v>
      </c>
      <c r="H25" s="265"/>
      <c r="I25" s="265"/>
      <c r="J25" s="266"/>
      <c r="K25" s="91"/>
      <c r="L25" s="165"/>
    </row>
    <row r="26" spans="2:12" ht="15" customHeight="1">
      <c r="B26" s="40"/>
      <c r="C26" s="95"/>
      <c r="D26" s="95"/>
      <c r="E26" s="41"/>
      <c r="F26" s="95"/>
      <c r="G26" s="41"/>
      <c r="H26" s="41"/>
      <c r="I26" s="41"/>
      <c r="J26" s="41"/>
      <c r="K26" s="41"/>
      <c r="L26" s="169"/>
    </row>
    <row r="27" ht="15" customHeight="1"/>
    <row r="28" ht="15" customHeight="1"/>
    <row r="29" spans="2:12" ht="15" customHeight="1">
      <c r="B29" s="26" t="s">
        <v>44</v>
      </c>
      <c r="K29" s="86" t="s">
        <v>190</v>
      </c>
      <c r="L29" s="86"/>
    </row>
    <row r="30" spans="2:12" ht="15" customHeight="1">
      <c r="B30" s="255" t="s">
        <v>3</v>
      </c>
      <c r="C30" s="259" t="s">
        <v>37</v>
      </c>
      <c r="D30" s="260"/>
      <c r="E30" s="259" t="s">
        <v>38</v>
      </c>
      <c r="F30" s="260"/>
      <c r="G30" s="259" t="s">
        <v>114</v>
      </c>
      <c r="H30" s="260"/>
      <c r="I30" s="150" t="s">
        <v>115</v>
      </c>
      <c r="J30" s="249" t="s">
        <v>39</v>
      </c>
      <c r="K30" s="250"/>
      <c r="L30" s="167"/>
    </row>
    <row r="31" spans="2:12" ht="15" customHeight="1">
      <c r="B31" s="256"/>
      <c r="C31" s="244"/>
      <c r="D31" s="245"/>
      <c r="E31" s="244"/>
      <c r="F31" s="245"/>
      <c r="G31" s="256" t="s">
        <v>68</v>
      </c>
      <c r="H31" s="244"/>
      <c r="I31" s="151" t="s">
        <v>70</v>
      </c>
      <c r="J31" s="249"/>
      <c r="K31" s="250"/>
      <c r="L31" s="167"/>
    </row>
    <row r="32" spans="2:12" ht="15" customHeight="1">
      <c r="B32" s="33" t="s">
        <v>192</v>
      </c>
      <c r="C32" s="279">
        <v>20</v>
      </c>
      <c r="D32" s="280"/>
      <c r="E32" s="152">
        <f>+G21</f>
        <v>0</v>
      </c>
      <c r="F32" s="161" t="s">
        <v>67</v>
      </c>
      <c r="G32" s="148">
        <f>IF($F$25="×","",E32*C32*10000)</f>
      </c>
      <c r="H32" s="100" t="s">
        <v>40</v>
      </c>
      <c r="I32" s="253">
        <f>IF($F$25="×","",IF(SUM(G32:G33)&gt;=M11,M11,SUM(G32:G33))+G34)</f>
      </c>
      <c r="J32" s="281">
        <f>IF($F$25="×","",IF(E17&gt;=100,10,5))</f>
      </c>
      <c r="K32" s="282"/>
      <c r="L32" s="168"/>
    </row>
    <row r="33" spans="2:12" ht="15" customHeight="1">
      <c r="B33" s="33" t="s">
        <v>193</v>
      </c>
      <c r="C33" s="279">
        <v>10</v>
      </c>
      <c r="D33" s="280"/>
      <c r="E33" s="152">
        <f>+G22</f>
        <v>0</v>
      </c>
      <c r="F33" s="161" t="s">
        <v>116</v>
      </c>
      <c r="G33" s="148">
        <f>IF($F$25="×","",E33*C33*10000)</f>
      </c>
      <c r="H33" s="100" t="s">
        <v>41</v>
      </c>
      <c r="I33" s="253"/>
      <c r="J33" s="281"/>
      <c r="K33" s="282"/>
      <c r="L33" s="168"/>
    </row>
    <row r="34" spans="2:12" ht="15" customHeight="1">
      <c r="B34" s="33" t="s">
        <v>194</v>
      </c>
      <c r="C34" s="279">
        <v>20</v>
      </c>
      <c r="D34" s="280"/>
      <c r="E34" s="152">
        <f>+G23</f>
        <v>0</v>
      </c>
      <c r="F34" s="161" t="s">
        <v>117</v>
      </c>
      <c r="G34" s="148">
        <f>IF($F$25="×","",E34*C34*10000)</f>
      </c>
      <c r="H34" s="100" t="s">
        <v>42</v>
      </c>
      <c r="I34" s="253"/>
      <c r="J34" s="281"/>
      <c r="K34" s="282"/>
      <c r="L34" s="168"/>
    </row>
    <row r="35" spans="1:9" ht="15" customHeight="1">
      <c r="A35" s="86"/>
      <c r="I35" s="146" t="s">
        <v>241</v>
      </c>
    </row>
    <row r="36" ht="15" customHeight="1">
      <c r="I36" s="146" t="s">
        <v>113</v>
      </c>
    </row>
    <row r="37" spans="1:12" ht="23.25" customHeight="1">
      <c r="A37" s="86"/>
      <c r="B37" s="131" t="s">
        <v>214</v>
      </c>
      <c r="C37" s="278" t="s">
        <v>215</v>
      </c>
      <c r="D37" s="278"/>
      <c r="E37" s="278"/>
      <c r="F37" s="131"/>
      <c r="G37" s="131" t="s">
        <v>216</v>
      </c>
      <c r="H37" s="96"/>
      <c r="I37" s="35"/>
      <c r="J37" s="35"/>
      <c r="K37" s="97"/>
      <c r="L37" s="97"/>
    </row>
    <row r="38" spans="1:12" ht="23.25" customHeight="1">
      <c r="A38" s="86"/>
      <c r="B38" s="98">
        <f>+I32</f>
      </c>
      <c r="C38" s="277" t="str">
        <f>"×　　　　"&amp;J32&amp;"年間  　     ＝"</f>
        <v>×　　　　年間  　     ＝</v>
      </c>
      <c r="D38" s="277"/>
      <c r="E38" s="277"/>
      <c r="F38" s="96"/>
      <c r="G38" s="107">
        <f>IF($F$25="×","",+I32*J32)</f>
      </c>
      <c r="H38" s="96" t="s">
        <v>61</v>
      </c>
      <c r="I38" s="99"/>
      <c r="J38" s="35"/>
      <c r="K38" s="97"/>
      <c r="L38" s="97"/>
    </row>
  </sheetData>
  <sheetProtection password="DC84" sheet="1" objects="1" scenarios="1" selectLockedCells="1"/>
  <mergeCells count="28">
    <mergeCell ref="I32:I34"/>
    <mergeCell ref="J32:K34"/>
    <mergeCell ref="B30:B31"/>
    <mergeCell ref="G31:H31"/>
    <mergeCell ref="J30:K31"/>
    <mergeCell ref="G30:H30"/>
    <mergeCell ref="C38:E38"/>
    <mergeCell ref="C37:E37"/>
    <mergeCell ref="C30:D31"/>
    <mergeCell ref="C32:D32"/>
    <mergeCell ref="C33:D33"/>
    <mergeCell ref="C34:D34"/>
    <mergeCell ref="E30:F31"/>
    <mergeCell ref="C9:F9"/>
    <mergeCell ref="C23:F23"/>
    <mergeCell ref="C16:F16"/>
    <mergeCell ref="E17:G17"/>
    <mergeCell ref="K6:L6"/>
    <mergeCell ref="K7:L7"/>
    <mergeCell ref="K9:L9"/>
    <mergeCell ref="K12:L12"/>
    <mergeCell ref="K10:L10"/>
    <mergeCell ref="G25:J25"/>
    <mergeCell ref="K16:L16"/>
    <mergeCell ref="K23:L23"/>
    <mergeCell ref="C22:E22"/>
    <mergeCell ref="G14:J14"/>
    <mergeCell ref="G19:J19"/>
  </mergeCells>
  <printOptions/>
  <pageMargins left="0.16" right="0.16" top="0.71" bottom="0.17" header="0.3" footer="0.17"/>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6"/>
  <dimension ref="B2:O36"/>
  <sheetViews>
    <sheetView zoomScaleSheetLayoutView="100" zoomScalePageLayoutView="0" workbookViewId="0" topLeftCell="A1">
      <selection activeCell="A1" sqref="A1"/>
    </sheetView>
  </sheetViews>
  <sheetFormatPr defaultColWidth="25.00390625" defaultRowHeight="15"/>
  <cols>
    <col min="1" max="1" width="4.7109375" style="26" customWidth="1"/>
    <col min="2" max="2" width="17.57421875" style="26" customWidth="1"/>
    <col min="3" max="3" width="8.421875" style="26" customWidth="1"/>
    <col min="4" max="4" width="19.57421875" style="26" customWidth="1"/>
    <col min="5" max="5" width="6.57421875" style="26" customWidth="1"/>
    <col min="6" max="6" width="6.28125" style="26" customWidth="1"/>
    <col min="7" max="7" width="18.7109375" style="26" customWidth="1"/>
    <col min="8" max="8" width="25.00390625" style="26" customWidth="1"/>
    <col min="9" max="9" width="6.57421875" style="26" customWidth="1"/>
    <col min="10" max="10" width="37.421875" style="26" customWidth="1"/>
    <col min="11" max="11" width="25.00390625" style="26" customWidth="1"/>
    <col min="12" max="14" width="0" style="26" hidden="1" customWidth="1"/>
    <col min="15" max="16384" width="25.00390625" style="26" customWidth="1"/>
  </cols>
  <sheetData>
    <row r="2" spans="2:12" ht="18.75">
      <c r="B2" s="133" t="s">
        <v>45</v>
      </c>
      <c r="C2" s="133"/>
      <c r="L2" s="25" t="s">
        <v>66</v>
      </c>
    </row>
    <row r="3" spans="2:12" ht="4.5" customHeight="1">
      <c r="B3" s="25"/>
      <c r="C3" s="25"/>
      <c r="L3" s="25"/>
    </row>
    <row r="4" spans="2:10" ht="15" customHeight="1">
      <c r="B4" s="27"/>
      <c r="C4" s="28"/>
      <c r="D4" s="28"/>
      <c r="E4" s="28"/>
      <c r="F4" s="28"/>
      <c r="G4" s="28"/>
      <c r="H4" s="28"/>
      <c r="I4" s="28"/>
      <c r="J4" s="29"/>
    </row>
    <row r="5" spans="2:12" ht="15" customHeight="1">
      <c r="B5" s="30" t="s">
        <v>7</v>
      </c>
      <c r="C5" s="31" t="s">
        <v>20</v>
      </c>
      <c r="G5" s="88" t="str">
        <f>+'記入シート１'!F5</f>
        <v>製造加工施設</v>
      </c>
      <c r="H5" s="104"/>
      <c r="I5" s="31"/>
      <c r="J5" s="32"/>
      <c r="L5" s="26" t="s">
        <v>104</v>
      </c>
    </row>
    <row r="6" spans="2:14" ht="15" customHeight="1">
      <c r="B6" s="30" t="s">
        <v>8</v>
      </c>
      <c r="C6" s="31" t="s">
        <v>4</v>
      </c>
      <c r="D6" s="31"/>
      <c r="E6" s="31"/>
      <c r="F6" s="31"/>
      <c r="G6" s="88" t="str">
        <f>+'記入シート１'!F6</f>
        <v>新設</v>
      </c>
      <c r="H6" s="31"/>
      <c r="I6" s="31"/>
      <c r="J6" s="113" t="str">
        <f>"チェック　"&amp;IF(OR(,G6=0),"エラー　未記入","OK")</f>
        <v>チェック　OK</v>
      </c>
      <c r="L6" s="33"/>
      <c r="M6" s="33" t="s">
        <v>145</v>
      </c>
      <c r="N6" s="33" t="s">
        <v>146</v>
      </c>
    </row>
    <row r="7" spans="2:14" ht="15" customHeight="1">
      <c r="B7" s="30" t="s">
        <v>9</v>
      </c>
      <c r="C7" s="31" t="s">
        <v>144</v>
      </c>
      <c r="D7" s="31"/>
      <c r="E7" s="31"/>
      <c r="F7" s="31"/>
      <c r="G7" s="88" t="str">
        <f>+'記入シート１'!F7</f>
        <v>食関連施設でない</v>
      </c>
      <c r="H7" s="31"/>
      <c r="I7" s="31"/>
      <c r="J7" s="113" t="str">
        <f>"チェック　"&amp;IF(OR(,G7=0),"エラー　未記入","OK")</f>
        <v>チェック　OK</v>
      </c>
      <c r="L7" s="33" t="s">
        <v>5</v>
      </c>
      <c r="M7" s="33">
        <v>50000000</v>
      </c>
      <c r="N7" s="33">
        <v>30000000</v>
      </c>
    </row>
    <row r="8" spans="2:14" ht="15" customHeight="1">
      <c r="B8" s="30" t="s">
        <v>10</v>
      </c>
      <c r="C8" s="31" t="s">
        <v>16</v>
      </c>
      <c r="D8" s="31"/>
      <c r="E8" s="31"/>
      <c r="F8" s="31"/>
      <c r="G8" s="117">
        <f>+'記入シート１'!F8</f>
        <v>0</v>
      </c>
      <c r="H8" s="31"/>
      <c r="I8" s="31"/>
      <c r="J8" s="114"/>
      <c r="L8" s="33" t="s">
        <v>6</v>
      </c>
      <c r="M8" s="33">
        <v>20000000</v>
      </c>
      <c r="N8" s="33">
        <v>15000000</v>
      </c>
    </row>
    <row r="9" spans="2:14" ht="15" customHeight="1">
      <c r="B9" s="30" t="s">
        <v>244</v>
      </c>
      <c r="C9" s="246" t="s">
        <v>253</v>
      </c>
      <c r="D9" s="246"/>
      <c r="E9" s="246"/>
      <c r="F9" s="246"/>
      <c r="G9" s="117" t="str">
        <f>'記入シート１'!F11</f>
        <v>増加する</v>
      </c>
      <c r="H9" s="31"/>
      <c r="I9" s="31"/>
      <c r="J9" s="113" t="str">
        <f>"チェック　"&amp;IF(G6="増設",IF(G9="減少する","エラー　要件は雇用規模維持又は拡大","OK"),"OK")</f>
        <v>チェック　OK</v>
      </c>
      <c r="K9" s="135"/>
      <c r="L9" s="35"/>
      <c r="M9" s="35"/>
      <c r="N9" s="35"/>
    </row>
    <row r="10" spans="2:14" ht="15" customHeight="1">
      <c r="B10" s="30" t="s">
        <v>254</v>
      </c>
      <c r="C10" s="31" t="s">
        <v>14</v>
      </c>
      <c r="D10" s="31"/>
      <c r="E10" s="31"/>
      <c r="F10" s="31"/>
      <c r="G10" s="101">
        <f>+'記入シート１'!F12</f>
        <v>0</v>
      </c>
      <c r="H10" s="31"/>
      <c r="I10" s="31"/>
      <c r="J10" s="113" t="str">
        <f>"チェック　"&amp;IF(G10&gt;=0,"OK","エラー　雇用減")</f>
        <v>チェック　OK</v>
      </c>
      <c r="L10" s="35"/>
      <c r="M10" s="35"/>
      <c r="N10" s="35"/>
    </row>
    <row r="11" spans="2:14" ht="15" customHeight="1">
      <c r="B11" s="30" t="s">
        <v>255</v>
      </c>
      <c r="C11" s="31" t="s">
        <v>179</v>
      </c>
      <c r="D11" s="31"/>
      <c r="E11" s="31"/>
      <c r="F11" s="31"/>
      <c r="G11" s="117">
        <f>ROUNDDOWN(+G8*0.7,0)</f>
        <v>0</v>
      </c>
      <c r="H11" s="31" t="s">
        <v>199</v>
      </c>
      <c r="I11" s="31"/>
      <c r="J11" s="114"/>
      <c r="L11" s="35" t="s">
        <v>110</v>
      </c>
      <c r="M11" s="35"/>
      <c r="N11" s="35"/>
    </row>
    <row r="12" spans="2:14" ht="15" customHeight="1">
      <c r="B12" s="30" t="s">
        <v>256</v>
      </c>
      <c r="C12" s="31" t="s">
        <v>135</v>
      </c>
      <c r="G12" s="182">
        <f>IF(OR(G5=0,G6=0,G7=0),"",IF(G7="食関連施設でない",VLOOKUP(G6,L6:N8,2),VLOOKUP(G6,L6:N8,3)))</f>
        <v>50000000</v>
      </c>
      <c r="H12" s="31"/>
      <c r="I12" s="31"/>
      <c r="J12" s="113" t="str">
        <f>"チェック　"&amp;IF(G11&gt;=G12,"OK　⑦≧⑧","エラー　⑦＜⑧")</f>
        <v>チェック　エラー　⑦＜⑧</v>
      </c>
      <c r="L12" s="33">
        <v>10000000</v>
      </c>
      <c r="M12" s="35"/>
      <c r="N12" s="35"/>
    </row>
    <row r="13" spans="2:14" ht="15" customHeight="1">
      <c r="B13" s="30"/>
      <c r="C13" s="37"/>
      <c r="D13" s="31"/>
      <c r="E13" s="31"/>
      <c r="F13" s="31"/>
      <c r="G13" s="89"/>
      <c r="H13" s="37"/>
      <c r="I13" s="37"/>
      <c r="J13" s="113"/>
      <c r="L13" s="35"/>
      <c r="M13" s="35"/>
      <c r="N13" s="35"/>
    </row>
    <row r="14" spans="2:10" ht="15" customHeight="1">
      <c r="B14" s="30"/>
      <c r="C14" s="125"/>
      <c r="D14" s="37"/>
      <c r="E14" s="37"/>
      <c r="F14" s="37"/>
      <c r="G14" s="37"/>
      <c r="H14" s="37"/>
      <c r="I14" s="37"/>
      <c r="J14" s="114"/>
    </row>
    <row r="15" spans="2:10" ht="15" customHeight="1">
      <c r="B15" s="36"/>
      <c r="C15" s="285" t="s">
        <v>264</v>
      </c>
      <c r="D15" s="286"/>
      <c r="E15" s="39" t="str">
        <f>IF(G6="新設",IF(AND(F17&gt;=500,G11&gt;=G12,G10&gt;=0,G9="増加する"),"◯","×"),IF(AND(F17&gt;=500,G11&gt;=G12,G10&gt;=0,OR(G9="増加する",G9="変わらない")),"◯","×"))</f>
        <v>×</v>
      </c>
      <c r="F15" s="265" t="str">
        <f>IF(G6=0,"新設・増設が未記入です。",IF(G7=0,"食品関連業種である・ないが未記入です。",IF(G6="新設",IF(AND(F17&gt;=500,G11&gt;=G12,G10&gt;=0,G9="増加する"),"要件を満たしています。","要件を満たしていません。"),IF(AND(F17&gt;=500,G11&gt;=G12,G10&gt;=0,OR(G9="増加する",G9="変わらない")),"要件を満たしています。","要件を満たしていません。"))))</f>
        <v>要件を満たしていません。</v>
      </c>
      <c r="G15" s="265"/>
      <c r="H15" s="265"/>
      <c r="I15" s="266"/>
      <c r="J15" s="114"/>
    </row>
    <row r="16" spans="2:10" ht="15" customHeight="1">
      <c r="B16" s="30"/>
      <c r="C16" s="159"/>
      <c r="D16" s="92"/>
      <c r="E16" s="92"/>
      <c r="F16" s="92"/>
      <c r="G16" s="92"/>
      <c r="H16" s="92"/>
      <c r="I16" s="92"/>
      <c r="J16" s="114"/>
    </row>
    <row r="17" spans="2:15" ht="15" customHeight="1">
      <c r="B17" s="30" t="s">
        <v>257</v>
      </c>
      <c r="C17" s="183" t="s">
        <v>267</v>
      </c>
      <c r="F17" s="287">
        <f>+'記入シート１'!F17</f>
        <v>0</v>
      </c>
      <c r="G17" s="287"/>
      <c r="H17" s="31"/>
      <c r="I17" s="31"/>
      <c r="J17" s="113" t="str">
        <f>"チェック　"&amp;IF(F17&gt;=500,"OK","エラー　使用量が少量である")</f>
        <v>チェック　エラー　使用量が少量である</v>
      </c>
      <c r="M17" s="35"/>
      <c r="N17" s="35"/>
      <c r="O17" s="35"/>
    </row>
    <row r="18" spans="2:10" ht="15" customHeight="1">
      <c r="B18" s="36"/>
      <c r="C18" s="37"/>
      <c r="D18" s="37"/>
      <c r="E18" s="37"/>
      <c r="F18" s="37"/>
      <c r="G18" s="37"/>
      <c r="H18" s="37"/>
      <c r="I18" s="37"/>
      <c r="J18" s="34"/>
    </row>
    <row r="19" spans="2:15" ht="15" customHeight="1">
      <c r="B19" s="36"/>
      <c r="C19" s="285" t="s">
        <v>265</v>
      </c>
      <c r="D19" s="286"/>
      <c r="E19" s="39" t="str">
        <f>IF(E15="×",E15,IF(F17&gt;500,"◯","×"))</f>
        <v>×</v>
      </c>
      <c r="F19" s="265" t="str">
        <f>IF(E15="×","要件を満たしていませんので不採択になります。",IF(F17&gt;500,"使用量が500㎥/月を超えているので採択になります。","使用量が500㎥/月を超えていないので不採択になります。"))</f>
        <v>要件を満たしていませんので不採択になります。</v>
      </c>
      <c r="G19" s="265"/>
      <c r="H19" s="265"/>
      <c r="I19" s="266"/>
      <c r="J19" s="34"/>
      <c r="M19" s="35"/>
      <c r="N19" s="35"/>
      <c r="O19" s="35"/>
    </row>
    <row r="20" spans="2:15" ht="15" customHeight="1">
      <c r="B20" s="40"/>
      <c r="C20" s="41"/>
      <c r="D20" s="41"/>
      <c r="E20" s="41"/>
      <c r="F20" s="41"/>
      <c r="G20" s="41"/>
      <c r="H20" s="41"/>
      <c r="I20" s="41"/>
      <c r="J20" s="42"/>
      <c r="M20" s="35"/>
      <c r="N20" s="35"/>
      <c r="O20" s="35"/>
    </row>
    <row r="21" spans="13:15" ht="15" customHeight="1">
      <c r="M21" s="35"/>
      <c r="N21" s="35"/>
      <c r="O21" s="35"/>
    </row>
    <row r="22" ht="15" customHeight="1"/>
    <row r="23" ht="15" customHeight="1">
      <c r="B23" s="26" t="s">
        <v>44</v>
      </c>
    </row>
    <row r="24" spans="2:8" ht="15" customHeight="1">
      <c r="B24" s="247" t="s">
        <v>197</v>
      </c>
      <c r="C24" s="248"/>
      <c r="D24" s="247" t="s">
        <v>46</v>
      </c>
      <c r="E24" s="248"/>
      <c r="F24" s="247" t="s">
        <v>196</v>
      </c>
      <c r="G24" s="248"/>
      <c r="H24" s="102" t="s">
        <v>75</v>
      </c>
    </row>
    <row r="25" spans="2:8" ht="15" customHeight="1">
      <c r="B25" s="269" t="s">
        <v>30</v>
      </c>
      <c r="C25" s="270"/>
      <c r="D25" s="269" t="s">
        <v>32</v>
      </c>
      <c r="E25" s="270"/>
      <c r="F25" s="269" t="s">
        <v>47</v>
      </c>
      <c r="G25" s="270"/>
      <c r="H25" s="103" t="s">
        <v>74</v>
      </c>
    </row>
    <row r="26" spans="2:8" ht="15" customHeight="1">
      <c r="B26" s="253">
        <f>IF(E19="×","",+F17)</f>
      </c>
      <c r="C26" s="254"/>
      <c r="D26" s="253">
        <f>IF(E19="×","",500)</f>
      </c>
      <c r="E26" s="254"/>
      <c r="F26" s="253">
        <f>IF(E19="×","",B26-D26)</f>
      </c>
      <c r="G26" s="254"/>
      <c r="H26" s="33">
        <f>IF(E19="×","",+F26*12)</f>
      </c>
    </row>
    <row r="27" ht="15" customHeight="1"/>
    <row r="28" spans="2:8" ht="15" customHeight="1">
      <c r="B28" s="247" t="s">
        <v>48</v>
      </c>
      <c r="C28" s="248"/>
      <c r="D28" s="247" t="s">
        <v>198</v>
      </c>
      <c r="E28" s="248"/>
      <c r="F28" s="247" t="s">
        <v>76</v>
      </c>
      <c r="G28" s="248"/>
      <c r="H28" s="102" t="s">
        <v>85</v>
      </c>
    </row>
    <row r="29" spans="2:8" ht="15" customHeight="1">
      <c r="B29" s="269" t="s">
        <v>60</v>
      </c>
      <c r="C29" s="270"/>
      <c r="D29" s="269" t="s">
        <v>69</v>
      </c>
      <c r="E29" s="270"/>
      <c r="F29" s="269" t="s">
        <v>200</v>
      </c>
      <c r="G29" s="270"/>
      <c r="H29" s="103" t="s">
        <v>62</v>
      </c>
    </row>
    <row r="30" spans="2:8" ht="15" customHeight="1">
      <c r="B30" s="253">
        <f>IF(E19="×","",138)</f>
      </c>
      <c r="C30" s="254"/>
      <c r="D30" s="253">
        <f>IF(E19="×","",ROUNDDOWN(H26*B30,0))</f>
      </c>
      <c r="E30" s="254"/>
      <c r="F30" s="271">
        <f>IF(E19="×","",IF(D30/2&gt;L12,L12,ROUNDDOWN(+D30/2,-3)))</f>
      </c>
      <c r="G30" s="272"/>
      <c r="H30" s="115">
        <f>IF(E19="×","",5)</f>
      </c>
    </row>
    <row r="31" spans="2:6" ht="15" customHeight="1">
      <c r="B31" s="283" t="s">
        <v>201</v>
      </c>
      <c r="C31" s="283"/>
      <c r="F31" s="26" t="s">
        <v>233</v>
      </c>
    </row>
    <row r="32" spans="2:6" ht="15" customHeight="1">
      <c r="B32" s="284"/>
      <c r="C32" s="284"/>
      <c r="F32" s="26" t="s">
        <v>234</v>
      </c>
    </row>
    <row r="33" spans="2:3" ht="15" customHeight="1">
      <c r="B33" s="284"/>
      <c r="C33" s="284"/>
    </row>
    <row r="34" spans="2:3" ht="15" customHeight="1">
      <c r="B34" s="284"/>
      <c r="C34" s="284"/>
    </row>
    <row r="35" spans="2:8" ht="23.25" customHeight="1">
      <c r="B35" s="131" t="s">
        <v>214</v>
      </c>
      <c r="C35" s="131"/>
      <c r="D35" s="278" t="s">
        <v>215</v>
      </c>
      <c r="E35" s="278"/>
      <c r="F35" s="278"/>
      <c r="G35" s="132" t="s">
        <v>217</v>
      </c>
      <c r="H35" s="132"/>
    </row>
    <row r="36" spans="2:8" ht="21">
      <c r="B36" s="116">
        <f>+F30</f>
      </c>
      <c r="C36" s="116"/>
      <c r="D36" s="277">
        <f>IF(E19="×","","×　　 　"&amp;H30&amp;"年間         ＝")</f>
      </c>
      <c r="E36" s="277"/>
      <c r="F36" s="277"/>
      <c r="G36" s="107">
        <f>IF(E19="×","",+F30*H30)</f>
      </c>
      <c r="H36" s="130" t="s">
        <v>213</v>
      </c>
    </row>
  </sheetData>
  <sheetProtection password="DC84" sheet="1" selectLockedCells="1"/>
  <mergeCells count="27">
    <mergeCell ref="F28:G28"/>
    <mergeCell ref="F29:G29"/>
    <mergeCell ref="F17:G17"/>
    <mergeCell ref="B24:C24"/>
    <mergeCell ref="B25:C25"/>
    <mergeCell ref="B26:C26"/>
    <mergeCell ref="B28:C28"/>
    <mergeCell ref="C9:F9"/>
    <mergeCell ref="D24:E24"/>
    <mergeCell ref="D25:E25"/>
    <mergeCell ref="D36:F36"/>
    <mergeCell ref="D35:F35"/>
    <mergeCell ref="F30:G30"/>
    <mergeCell ref="F24:G24"/>
    <mergeCell ref="F25:G25"/>
    <mergeCell ref="F26:G26"/>
    <mergeCell ref="D26:E26"/>
    <mergeCell ref="F15:I15"/>
    <mergeCell ref="F19:I19"/>
    <mergeCell ref="D30:E30"/>
    <mergeCell ref="B31:C34"/>
    <mergeCell ref="B29:C29"/>
    <mergeCell ref="B30:C30"/>
    <mergeCell ref="C15:D15"/>
    <mergeCell ref="C19:D19"/>
    <mergeCell ref="D28:E28"/>
    <mergeCell ref="D29:E29"/>
  </mergeCells>
  <printOptions/>
  <pageMargins left="0.21" right="0.16" top="0.75" bottom="0.5" header="0.3" footer="0.3"/>
  <pageSetup horizontalDpi="300" verticalDpi="300" orientation="landscape" paperSize="9"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sheetPr codeName="Sheet7"/>
  <dimension ref="A2:AB73"/>
  <sheetViews>
    <sheetView zoomScaleSheetLayoutView="100" zoomScalePageLayoutView="0" workbookViewId="0" topLeftCell="A1">
      <selection activeCell="G7" sqref="G7"/>
    </sheetView>
  </sheetViews>
  <sheetFormatPr defaultColWidth="25.00390625" defaultRowHeight="15"/>
  <cols>
    <col min="1" max="1" width="4.7109375" style="26" customWidth="1"/>
    <col min="2" max="2" width="14.57421875" style="26" customWidth="1"/>
    <col min="3" max="3" width="4.28125" style="26" customWidth="1"/>
    <col min="4" max="4" width="14.140625" style="26" customWidth="1"/>
    <col min="5" max="5" width="5.28125" style="26" customWidth="1"/>
    <col min="6" max="6" width="15.421875" style="26" customWidth="1"/>
    <col min="7" max="7" width="22.8515625" style="26" customWidth="1"/>
    <col min="8" max="8" width="2.421875" style="26" customWidth="1"/>
    <col min="9" max="9" width="18.421875" style="26" customWidth="1"/>
    <col min="10" max="10" width="9.57421875" style="26" customWidth="1"/>
    <col min="11" max="15" width="3.140625" style="26" customWidth="1"/>
    <col min="16" max="16" width="22.00390625" style="26" customWidth="1"/>
    <col min="17" max="17" width="7.00390625" style="26" customWidth="1"/>
    <col min="18" max="18" width="13.57421875" style="26" hidden="1" customWidth="1"/>
    <col min="19" max="19" width="29.57421875" style="26" hidden="1" customWidth="1"/>
    <col min="20" max="20" width="24.8515625" style="26" hidden="1" customWidth="1"/>
    <col min="21" max="21" width="27.421875" style="26" hidden="1" customWidth="1"/>
    <col min="22" max="22" width="26.140625" style="26" hidden="1" customWidth="1"/>
    <col min="23" max="23" width="48.28125" style="26" hidden="1" customWidth="1"/>
    <col min="24" max="33" width="5.57421875" style="26" customWidth="1"/>
    <col min="34" max="16384" width="25.00390625" style="26" customWidth="1"/>
  </cols>
  <sheetData>
    <row r="2" spans="2:28" ht="18.75">
      <c r="B2" s="133" t="s">
        <v>49</v>
      </c>
      <c r="C2" s="25"/>
      <c r="D2" s="25"/>
      <c r="S2" s="25" t="s">
        <v>99</v>
      </c>
      <c r="W2" s="25" t="s">
        <v>66</v>
      </c>
      <c r="X2" s="99"/>
      <c r="Y2" s="35"/>
      <c r="Z2" s="35"/>
      <c r="AA2" s="35"/>
      <c r="AB2" s="35"/>
    </row>
    <row r="3" spans="2:28" ht="4.5" customHeight="1">
      <c r="B3" s="25"/>
      <c r="C3" s="25"/>
      <c r="D3" s="25"/>
      <c r="S3" s="25"/>
      <c r="W3" s="25"/>
      <c r="X3" s="99"/>
      <c r="Y3" s="35"/>
      <c r="Z3" s="35"/>
      <c r="AA3" s="35"/>
      <c r="AB3" s="35"/>
    </row>
    <row r="4" spans="2:28" ht="15" customHeight="1">
      <c r="B4" s="27"/>
      <c r="C4" s="28"/>
      <c r="D4" s="28"/>
      <c r="E4" s="28"/>
      <c r="F4" s="28"/>
      <c r="G4" s="28"/>
      <c r="H4" s="28"/>
      <c r="I4" s="28"/>
      <c r="J4" s="28"/>
      <c r="K4" s="28"/>
      <c r="L4" s="28"/>
      <c r="M4" s="28"/>
      <c r="N4" s="28"/>
      <c r="O4" s="28"/>
      <c r="P4" s="29"/>
      <c r="Q4" s="35"/>
      <c r="S4" s="26" t="s">
        <v>77</v>
      </c>
      <c r="X4" s="35"/>
      <c r="AB4" s="35"/>
    </row>
    <row r="5" spans="2:25" ht="15" customHeight="1">
      <c r="B5" s="36"/>
      <c r="C5" s="31"/>
      <c r="D5" s="31"/>
      <c r="E5" s="31"/>
      <c r="F5" s="31"/>
      <c r="G5" s="31"/>
      <c r="H5" s="31"/>
      <c r="I5" s="31"/>
      <c r="J5" s="31"/>
      <c r="K5" s="31"/>
      <c r="L5" s="31"/>
      <c r="M5" s="31"/>
      <c r="N5" s="31"/>
      <c r="O5" s="31"/>
      <c r="P5" s="34"/>
      <c r="Q5" s="35"/>
      <c r="S5" s="293" t="s">
        <v>53</v>
      </c>
      <c r="T5" s="33" t="s">
        <v>54</v>
      </c>
      <c r="U5" s="33" t="s">
        <v>55</v>
      </c>
      <c r="W5" s="26" t="s">
        <v>106</v>
      </c>
      <c r="X5" s="35"/>
      <c r="Y5" s="35"/>
    </row>
    <row r="6" spans="2:25" ht="15" customHeight="1">
      <c r="B6" s="94" t="s">
        <v>143</v>
      </c>
      <c r="C6" s="126" t="s">
        <v>20</v>
      </c>
      <c r="D6" s="35"/>
      <c r="E6" s="126"/>
      <c r="F6" s="35"/>
      <c r="G6" s="125" t="str">
        <f>+'記入シート２'!F5</f>
        <v>製造加工施設</v>
      </c>
      <c r="H6" s="35"/>
      <c r="I6" s="37"/>
      <c r="J6" s="31"/>
      <c r="K6" s="31"/>
      <c r="L6" s="31"/>
      <c r="M6" s="31"/>
      <c r="N6" s="31"/>
      <c r="O6" s="31"/>
      <c r="P6" s="32"/>
      <c r="Q6" s="134"/>
      <c r="S6" s="293"/>
      <c r="T6" s="33" t="s">
        <v>56</v>
      </c>
      <c r="U6" s="33" t="s">
        <v>57</v>
      </c>
      <c r="W6" s="33">
        <v>20000000</v>
      </c>
      <c r="X6" s="35"/>
      <c r="Y6" s="35"/>
    </row>
    <row r="7" spans="2:28" ht="15" customHeight="1">
      <c r="B7" s="30" t="s">
        <v>8</v>
      </c>
      <c r="C7" s="112" t="s">
        <v>58</v>
      </c>
      <c r="D7" s="31"/>
      <c r="E7" s="112"/>
      <c r="F7" s="112"/>
      <c r="G7" s="101">
        <f>+'記入シート２'!F6</f>
        <v>0</v>
      </c>
      <c r="H7" s="101"/>
      <c r="I7" s="31"/>
      <c r="J7" s="31"/>
      <c r="K7" s="31"/>
      <c r="L7" s="31"/>
      <c r="M7" s="31"/>
      <c r="N7" s="31"/>
      <c r="O7" s="31"/>
      <c r="P7" s="32"/>
      <c r="Q7" s="134"/>
      <c r="R7" s="26">
        <v>1</v>
      </c>
      <c r="S7" s="43" t="s">
        <v>141</v>
      </c>
      <c r="T7" s="33">
        <v>300</v>
      </c>
      <c r="U7" s="33">
        <v>300000000</v>
      </c>
      <c r="X7" s="35"/>
      <c r="AB7" s="35"/>
    </row>
    <row r="8" spans="2:28" ht="15" customHeight="1">
      <c r="B8" s="30" t="s">
        <v>9</v>
      </c>
      <c r="C8" s="112" t="s">
        <v>59</v>
      </c>
      <c r="D8" s="31"/>
      <c r="E8" s="112"/>
      <c r="F8" s="112"/>
      <c r="G8" s="117">
        <f>+'記入シート２'!F7</f>
        <v>0</v>
      </c>
      <c r="H8" s="117"/>
      <c r="I8" s="31"/>
      <c r="J8" s="31"/>
      <c r="K8" s="31"/>
      <c r="L8" s="31"/>
      <c r="M8" s="31"/>
      <c r="N8" s="31"/>
      <c r="O8" s="31"/>
      <c r="P8" s="32"/>
      <c r="Q8" s="134"/>
      <c r="R8" s="26">
        <v>2</v>
      </c>
      <c r="S8" s="33" t="s">
        <v>136</v>
      </c>
      <c r="T8" s="33">
        <v>100</v>
      </c>
      <c r="U8" s="33">
        <v>100000000</v>
      </c>
      <c r="W8" s="35" t="s">
        <v>118</v>
      </c>
      <c r="X8" s="35"/>
      <c r="AB8" s="35"/>
    </row>
    <row r="9" spans="2:28" ht="15" customHeight="1">
      <c r="B9" s="36"/>
      <c r="C9" s="112" t="s">
        <v>156</v>
      </c>
      <c r="D9" s="31"/>
      <c r="E9" s="112"/>
      <c r="F9" s="112"/>
      <c r="G9" s="88"/>
      <c r="H9" s="88"/>
      <c r="I9" s="31"/>
      <c r="J9" s="31"/>
      <c r="K9" s="31"/>
      <c r="L9" s="31"/>
      <c r="M9" s="31"/>
      <c r="N9" s="31"/>
      <c r="O9" s="31"/>
      <c r="P9" s="32"/>
      <c r="Q9" s="134"/>
      <c r="R9" s="26">
        <v>3</v>
      </c>
      <c r="S9" s="33" t="s">
        <v>137</v>
      </c>
      <c r="T9" s="33">
        <v>100</v>
      </c>
      <c r="U9" s="33">
        <v>50000000</v>
      </c>
      <c r="W9" s="33">
        <v>10000000</v>
      </c>
      <c r="X9" s="35"/>
      <c r="AB9" s="35"/>
    </row>
    <row r="10" spans="2:28" ht="28.5" customHeight="1">
      <c r="B10" s="30" t="s">
        <v>157</v>
      </c>
      <c r="C10" s="104" t="s">
        <v>210</v>
      </c>
      <c r="D10" s="31"/>
      <c r="E10" s="31"/>
      <c r="F10" s="288" t="str">
        <f>+'記入シート２'!F9</f>
        <v>卸売業、サービス業、
小売業以外の業種</v>
      </c>
      <c r="G10" s="288"/>
      <c r="H10" s="127"/>
      <c r="I10" s="31"/>
      <c r="J10" s="31"/>
      <c r="K10" s="31"/>
      <c r="L10" s="31"/>
      <c r="M10" s="31"/>
      <c r="N10" s="31"/>
      <c r="O10" s="31"/>
      <c r="P10" s="32"/>
      <c r="Q10" s="134"/>
      <c r="S10" s="33"/>
      <c r="T10" s="33"/>
      <c r="U10" s="33"/>
      <c r="W10" s="35"/>
      <c r="X10" s="35"/>
      <c r="AB10" s="35"/>
    </row>
    <row r="11" spans="2:28" ht="15" customHeight="1">
      <c r="B11" s="30" t="s">
        <v>11</v>
      </c>
      <c r="C11" s="106" t="s">
        <v>211</v>
      </c>
      <c r="D11" s="31"/>
      <c r="E11" s="31"/>
      <c r="F11" s="106"/>
      <c r="G11" s="101">
        <f>+'記入シート２'!F10</f>
        <v>300</v>
      </c>
      <c r="H11" s="101"/>
      <c r="I11" s="31"/>
      <c r="J11" s="31"/>
      <c r="K11" s="113" t="str">
        <f>"チェック　"&amp;IF(G7&lt;=G11,"OK　②≦⑤","エラー　②＞⑤")</f>
        <v>チェック　OK　②≦⑤</v>
      </c>
      <c r="L11" s="37"/>
      <c r="M11" s="35"/>
      <c r="N11" s="37"/>
      <c r="O11" s="37"/>
      <c r="P11" s="108"/>
      <c r="Q11" s="135"/>
      <c r="R11" s="26">
        <v>4</v>
      </c>
      <c r="S11" s="33" t="s">
        <v>138</v>
      </c>
      <c r="T11" s="33">
        <v>50</v>
      </c>
      <c r="U11" s="33">
        <v>50000000</v>
      </c>
      <c r="W11" s="35"/>
      <c r="X11" s="35"/>
      <c r="AB11" s="35"/>
    </row>
    <row r="12" spans="2:25" ht="15" customHeight="1">
      <c r="B12" s="30" t="s">
        <v>15</v>
      </c>
      <c r="C12" s="105" t="s">
        <v>212</v>
      </c>
      <c r="D12" s="31"/>
      <c r="E12" s="31"/>
      <c r="F12" s="105"/>
      <c r="G12" s="117">
        <f>+'記入シート２'!F11</f>
        <v>300000000</v>
      </c>
      <c r="H12" s="117"/>
      <c r="I12" s="31"/>
      <c r="J12" s="31"/>
      <c r="K12" s="153" t="str">
        <f>"チェック　"&amp;IF(G8&lt;=G12,"OK　③≦⑥","エラー　③＞⑥")</f>
        <v>チェック　OK　③≦⑥</v>
      </c>
      <c r="L12" s="31"/>
      <c r="M12" s="31"/>
      <c r="N12" s="31"/>
      <c r="O12" s="31"/>
      <c r="P12" s="34"/>
      <c r="Q12" s="135"/>
      <c r="U12" s="35"/>
      <c r="Y12" s="35"/>
    </row>
    <row r="13" spans="2:28" ht="15" customHeight="1">
      <c r="B13" s="30" t="s">
        <v>29</v>
      </c>
      <c r="C13" s="112" t="s">
        <v>174</v>
      </c>
      <c r="D13" s="31"/>
      <c r="E13" s="112"/>
      <c r="F13" s="112"/>
      <c r="G13" s="88" t="str">
        <f>+'記入シート２'!F12</f>
        <v>している</v>
      </c>
      <c r="H13" s="31"/>
      <c r="I13" s="31"/>
      <c r="J13" s="31"/>
      <c r="K13" s="153" t="str">
        <f>"チェック　"&amp;IF(G13="している","OK","エラー　要件は10年以上")</f>
        <v>チェック　OK</v>
      </c>
      <c r="L13" s="31"/>
      <c r="M13" s="31"/>
      <c r="N13" s="31"/>
      <c r="O13" s="31"/>
      <c r="P13" s="34"/>
      <c r="Q13" s="135"/>
      <c r="X13" s="35"/>
      <c r="Y13" s="118"/>
      <c r="Z13" s="118"/>
      <c r="AA13" s="118"/>
      <c r="AB13" s="35"/>
    </row>
    <row r="14" spans="2:28" ht="15" customHeight="1">
      <c r="B14" s="30" t="s">
        <v>30</v>
      </c>
      <c r="C14" s="112" t="s">
        <v>231</v>
      </c>
      <c r="D14" s="31"/>
      <c r="E14" s="112"/>
      <c r="F14" s="112"/>
      <c r="G14" s="88" t="str">
        <f>+'記入シート２'!F13</f>
        <v>減少する</v>
      </c>
      <c r="H14" s="101"/>
      <c r="I14" s="31"/>
      <c r="J14" s="31"/>
      <c r="K14" s="153" t="str">
        <f>"チェック　"&amp;IF(G14="減少する","エラー　要件は雇用規模維持又は拡大","OK")</f>
        <v>チェック　エラー　要件は雇用規模維持又は拡大</v>
      </c>
      <c r="L14" s="31"/>
      <c r="M14" s="31"/>
      <c r="N14" s="31"/>
      <c r="O14" s="31"/>
      <c r="P14" s="34"/>
      <c r="Q14" s="135"/>
      <c r="X14" s="35"/>
      <c r="Y14" s="118"/>
      <c r="Z14" s="118"/>
      <c r="AA14" s="118"/>
      <c r="AB14" s="35"/>
    </row>
    <row r="15" spans="2:28" ht="15" customHeight="1">
      <c r="B15" s="30" t="s">
        <v>32</v>
      </c>
      <c r="C15" s="112" t="s">
        <v>52</v>
      </c>
      <c r="D15" s="31"/>
      <c r="E15" s="112"/>
      <c r="F15" s="112"/>
      <c r="G15" s="117">
        <f>+'記入シート２'!F14</f>
        <v>0</v>
      </c>
      <c r="H15" s="117"/>
      <c r="I15" s="31"/>
      <c r="J15" s="31"/>
      <c r="K15" s="178"/>
      <c r="L15" s="31"/>
      <c r="M15" s="31"/>
      <c r="N15" s="31"/>
      <c r="O15" s="31"/>
      <c r="P15" s="34"/>
      <c r="Q15" s="136"/>
      <c r="S15" s="26" t="s">
        <v>78</v>
      </c>
      <c r="X15" s="35"/>
      <c r="Y15" s="118"/>
      <c r="Z15" s="118"/>
      <c r="AA15" s="118"/>
      <c r="AB15" s="35"/>
    </row>
    <row r="16" spans="2:24" ht="15" customHeight="1">
      <c r="B16" s="30" t="s">
        <v>151</v>
      </c>
      <c r="C16" s="112" t="s">
        <v>179</v>
      </c>
      <c r="D16" s="31"/>
      <c r="E16" s="112"/>
      <c r="F16" s="112"/>
      <c r="G16" s="89">
        <f>ROUNDDOWN(+G15*0.85,-3)</f>
        <v>0</v>
      </c>
      <c r="H16" s="31" t="s">
        <v>207</v>
      </c>
      <c r="I16" s="31"/>
      <c r="J16" s="31"/>
      <c r="K16" s="178"/>
      <c r="L16" s="31"/>
      <c r="M16" s="31"/>
      <c r="N16" s="31"/>
      <c r="O16" s="31"/>
      <c r="P16" s="34"/>
      <c r="Q16" s="136"/>
      <c r="S16" s="33" t="s">
        <v>50</v>
      </c>
      <c r="W16" s="118"/>
      <c r="X16" s="35"/>
    </row>
    <row r="17" spans="2:24" ht="15" customHeight="1">
      <c r="B17" s="180" t="s">
        <v>152</v>
      </c>
      <c r="C17" s="179" t="s">
        <v>135</v>
      </c>
      <c r="D17" s="35"/>
      <c r="E17" s="112"/>
      <c r="F17" s="112"/>
      <c r="G17" s="89">
        <f>+W6</f>
        <v>20000000</v>
      </c>
      <c r="H17" s="89"/>
      <c r="I17" s="31"/>
      <c r="J17" s="31"/>
      <c r="K17" s="113" t="str">
        <f>"チェック　"&amp;IF(G16&gt;=G17,"OK　⑩≧⑪","エラー　⑩＜⑪")</f>
        <v>チェック　エラー　⑩＜⑪</v>
      </c>
      <c r="L17" s="92"/>
      <c r="M17" s="35"/>
      <c r="N17" s="92"/>
      <c r="O17" s="92"/>
      <c r="P17" s="108"/>
      <c r="Q17" s="135"/>
      <c r="S17" s="33" t="s">
        <v>51</v>
      </c>
      <c r="W17" s="118"/>
      <c r="X17" s="35"/>
    </row>
    <row r="18" spans="2:24" ht="15" customHeight="1">
      <c r="B18" s="30"/>
      <c r="C18" s="88"/>
      <c r="D18" s="119"/>
      <c r="E18" s="119"/>
      <c r="F18" s="95"/>
      <c r="G18" s="37"/>
      <c r="H18" s="37"/>
      <c r="I18" s="37"/>
      <c r="J18" s="37"/>
      <c r="K18" s="37"/>
      <c r="L18" s="37"/>
      <c r="M18" s="37"/>
      <c r="N18" s="37"/>
      <c r="O18" s="37"/>
      <c r="P18" s="34"/>
      <c r="Q18" s="35"/>
      <c r="W18" s="35"/>
      <c r="X18" s="35"/>
    </row>
    <row r="19" spans="2:24" ht="15" customHeight="1">
      <c r="B19" s="36"/>
      <c r="C19" s="31"/>
      <c r="D19" s="38" t="s">
        <v>34</v>
      </c>
      <c r="E19" s="39" t="str">
        <f>IF(OR(G7&gt;G11,G8&gt;G12),"×",IF(AND(G13="している",G16&gt;=G17,OR(G14="増加する",G14="変わらない")),"◯","×"))</f>
        <v>×</v>
      </c>
      <c r="F19" s="289" t="str">
        <f>IF(OR(G7&gt;G11,G8&gt;G12),"中小企業ではありません。",IF(AND(G13="している",G16&gt;=G17,OR(G14="増加する",G14="変わらない")),"要件を満たしていますので採択になります。","要件を満たしていませんので不採択になります。"))</f>
        <v>要件を満たしていませんので不採択になります。</v>
      </c>
      <c r="G19" s="289"/>
      <c r="H19" s="289"/>
      <c r="I19" s="289"/>
      <c r="J19" s="128"/>
      <c r="K19" s="91"/>
      <c r="L19" s="91"/>
      <c r="M19" s="91"/>
      <c r="N19" s="91"/>
      <c r="O19" s="91"/>
      <c r="P19" s="34"/>
      <c r="Q19" s="35"/>
      <c r="W19" s="35"/>
      <c r="X19" s="35"/>
    </row>
    <row r="20" spans="2:24" ht="15" customHeight="1">
      <c r="B20" s="120"/>
      <c r="C20" s="121"/>
      <c r="D20" s="41"/>
      <c r="E20" s="41"/>
      <c r="F20" s="41"/>
      <c r="G20" s="41"/>
      <c r="H20" s="41"/>
      <c r="I20" s="41"/>
      <c r="J20" s="41"/>
      <c r="K20" s="41"/>
      <c r="L20" s="41"/>
      <c r="M20" s="41"/>
      <c r="N20" s="41"/>
      <c r="O20" s="41"/>
      <c r="P20" s="42"/>
      <c r="Q20" s="35"/>
      <c r="S20" s="25" t="s">
        <v>96</v>
      </c>
      <c r="W20" s="35"/>
      <c r="X20" s="35"/>
    </row>
    <row r="21" spans="19:24" ht="15" customHeight="1">
      <c r="S21" s="122" t="s">
        <v>97</v>
      </c>
      <c r="T21" s="123"/>
      <c r="U21" s="124"/>
      <c r="W21" s="35"/>
      <c r="X21" s="35"/>
    </row>
    <row r="22" spans="2:23" ht="15" customHeight="1">
      <c r="B22" s="26" t="s">
        <v>44</v>
      </c>
      <c r="K22" s="86"/>
      <c r="L22" s="86"/>
      <c r="M22" s="86" t="s">
        <v>190</v>
      </c>
      <c r="N22" s="86"/>
      <c r="O22" s="86"/>
      <c r="S22" s="294" t="s">
        <v>139</v>
      </c>
      <c r="T22" s="294"/>
      <c r="U22" s="294"/>
      <c r="W22" s="35"/>
    </row>
    <row r="23" spans="2:24" ht="15" customHeight="1">
      <c r="B23" s="255" t="s">
        <v>3</v>
      </c>
      <c r="C23" s="259" t="s">
        <v>2</v>
      </c>
      <c r="D23" s="260"/>
      <c r="E23" s="247" t="s">
        <v>204</v>
      </c>
      <c r="F23" s="248"/>
      <c r="G23" s="102" t="s">
        <v>205</v>
      </c>
      <c r="H23" s="247" t="s">
        <v>206</v>
      </c>
      <c r="I23" s="248"/>
      <c r="J23" s="249" t="s">
        <v>12</v>
      </c>
      <c r="K23" s="295"/>
      <c r="L23" s="295"/>
      <c r="M23" s="250"/>
      <c r="N23" s="167"/>
      <c r="O23" s="167"/>
      <c r="S23" s="294"/>
      <c r="T23" s="294"/>
      <c r="U23" s="294"/>
      <c r="X23" s="35"/>
    </row>
    <row r="24" spans="2:23" ht="15" customHeight="1">
      <c r="B24" s="256"/>
      <c r="C24" s="244"/>
      <c r="D24" s="245"/>
      <c r="E24" s="244" t="s">
        <v>153</v>
      </c>
      <c r="F24" s="245"/>
      <c r="G24" s="103" t="s">
        <v>154</v>
      </c>
      <c r="H24" s="269" t="s">
        <v>155</v>
      </c>
      <c r="I24" s="270"/>
      <c r="J24" s="249"/>
      <c r="K24" s="295"/>
      <c r="L24" s="295"/>
      <c r="M24" s="250"/>
      <c r="N24" s="167"/>
      <c r="O24" s="167"/>
      <c r="S24" s="294"/>
      <c r="T24" s="294"/>
      <c r="U24" s="294"/>
      <c r="W24" s="35"/>
    </row>
    <row r="25" spans="2:23" ht="45" customHeight="1">
      <c r="B25" s="33" t="s">
        <v>19</v>
      </c>
      <c r="C25" s="271" t="s">
        <v>208</v>
      </c>
      <c r="D25" s="272"/>
      <c r="E25" s="297" t="str">
        <f>IF($E$19="×"," ",ROUNDDOWN(G16,-3))</f>
        <v> </v>
      </c>
      <c r="F25" s="272"/>
      <c r="G25" s="43">
        <f>IF($E$19="×","",ROUNDDOWN(E25*0.77,-3))</f>
      </c>
      <c r="H25" s="271">
        <f>IF($E$19="×","",ROUNDDOWN(G25*0.77,-3))</f>
      </c>
      <c r="I25" s="272"/>
      <c r="J25" s="251"/>
      <c r="K25" s="296"/>
      <c r="L25" s="296"/>
      <c r="M25" s="252"/>
      <c r="N25" s="167"/>
      <c r="O25" s="167"/>
      <c r="R25" s="35"/>
      <c r="S25" s="294"/>
      <c r="T25" s="294"/>
      <c r="U25" s="294"/>
      <c r="W25" s="35"/>
    </row>
    <row r="26" spans="2:23" ht="15" customHeight="1">
      <c r="B26" s="33" t="s">
        <v>1</v>
      </c>
      <c r="C26" s="253" t="s">
        <v>181</v>
      </c>
      <c r="D26" s="254"/>
      <c r="E26" s="253">
        <f>IF($E$19="×","",ROUNDDOWN(+E25*1.4%,-2))</f>
      </c>
      <c r="F26" s="254"/>
      <c r="G26" s="33">
        <f>IF($E$19="×","",ROUNDDOWN(G25*1.4%,-2))</f>
      </c>
      <c r="H26" s="253">
        <f>IF($E$19="×","",ROUNDDOWN(+H25*0.014,-2))</f>
      </c>
      <c r="I26" s="254"/>
      <c r="J26" s="251"/>
      <c r="K26" s="296"/>
      <c r="L26" s="296"/>
      <c r="M26" s="252"/>
      <c r="N26" s="167"/>
      <c r="O26" s="167"/>
      <c r="R26" s="35"/>
      <c r="S26" s="294"/>
      <c r="T26" s="294"/>
      <c r="U26" s="294"/>
      <c r="W26" s="35"/>
    </row>
    <row r="27" spans="18:23" ht="15" customHeight="1">
      <c r="R27" s="35"/>
      <c r="S27" s="294"/>
      <c r="T27" s="294"/>
      <c r="U27" s="294"/>
      <c r="W27" s="35"/>
    </row>
    <row r="28" spans="2:21" ht="23.25" customHeight="1">
      <c r="B28" s="44" t="s">
        <v>18</v>
      </c>
      <c r="C28" s="242"/>
      <c r="D28" s="243"/>
      <c r="E28" s="242">
        <f>IF($E$19="×","",IF(E26&gt;=$W$9,$W$9,E26))</f>
      </c>
      <c r="F28" s="243"/>
      <c r="G28" s="44">
        <f>IF($E$19="×","",IF(G26&gt;=$W$9,$W$9,G26))</f>
      </c>
      <c r="H28" s="242">
        <f>IF($E$19="×","",IF(H26&gt;=$W$9,$W$9,H26))</f>
      </c>
      <c r="I28" s="243"/>
      <c r="J28" s="290">
        <f>IF(OR($E$19="×",E19="△"),"",SUM(E28:H28))</f>
      </c>
      <c r="K28" s="291"/>
      <c r="L28" s="291"/>
      <c r="M28" s="292"/>
      <c r="N28" s="107"/>
      <c r="O28" s="107"/>
      <c r="R28" s="35"/>
      <c r="S28" s="294"/>
      <c r="T28" s="294"/>
      <c r="U28" s="294"/>
    </row>
    <row r="29" spans="11:21" ht="15" customHeight="1">
      <c r="K29" s="86"/>
      <c r="L29" s="86"/>
      <c r="M29" s="86" t="s">
        <v>234</v>
      </c>
      <c r="N29" s="86"/>
      <c r="O29" s="86"/>
      <c r="S29" s="294"/>
      <c r="T29" s="294"/>
      <c r="U29" s="294"/>
    </row>
    <row r="30" spans="2:21" ht="15" customHeight="1">
      <c r="B30" s="26" t="s">
        <v>202</v>
      </c>
      <c r="R30" s="97"/>
      <c r="S30" s="294"/>
      <c r="T30" s="294"/>
      <c r="U30" s="294"/>
    </row>
    <row r="31" spans="2:21" ht="15" customHeight="1">
      <c r="B31" s="26" t="s">
        <v>203</v>
      </c>
      <c r="S31" s="294"/>
      <c r="T31" s="294"/>
      <c r="U31" s="294"/>
    </row>
    <row r="32" spans="2:21" ht="15" customHeight="1">
      <c r="B32" s="26" t="s">
        <v>195</v>
      </c>
      <c r="S32" s="294"/>
      <c r="T32" s="294"/>
      <c r="U32" s="294"/>
    </row>
    <row r="33" spans="19:21" ht="13.5">
      <c r="S33" s="294"/>
      <c r="T33" s="294"/>
      <c r="U33" s="294"/>
    </row>
    <row r="34" spans="19:21" ht="13.5">
      <c r="S34" s="294"/>
      <c r="T34" s="294"/>
      <c r="U34" s="294"/>
    </row>
    <row r="35" spans="19:21" ht="13.5">
      <c r="S35" s="294"/>
      <c r="T35" s="294"/>
      <c r="U35" s="294"/>
    </row>
    <row r="36" spans="19:21" ht="13.5">
      <c r="S36" s="294"/>
      <c r="T36" s="294"/>
      <c r="U36" s="294"/>
    </row>
    <row r="37" spans="19:21" ht="13.5">
      <c r="S37" s="294"/>
      <c r="T37" s="294"/>
      <c r="U37" s="294"/>
    </row>
    <row r="38" spans="19:21" ht="13.5">
      <c r="S38" s="294"/>
      <c r="T38" s="294"/>
      <c r="U38" s="294"/>
    </row>
    <row r="39" spans="19:21" ht="13.5">
      <c r="S39" s="294"/>
      <c r="T39" s="294"/>
      <c r="U39" s="294"/>
    </row>
    <row r="40" spans="19:21" ht="13.5">
      <c r="S40" s="294"/>
      <c r="T40" s="294"/>
      <c r="U40" s="294"/>
    </row>
    <row r="41" spans="19:21" ht="13.5">
      <c r="S41" s="294"/>
      <c r="T41" s="294"/>
      <c r="U41" s="294"/>
    </row>
    <row r="42" spans="19:21" ht="13.5">
      <c r="S42" s="294"/>
      <c r="T42" s="294"/>
      <c r="U42" s="294"/>
    </row>
    <row r="43" spans="19:21" ht="13.5">
      <c r="S43" s="294"/>
      <c r="T43" s="294"/>
      <c r="U43" s="294"/>
    </row>
    <row r="55" ht="13.5" customHeight="1"/>
    <row r="56" spans="16:17" ht="13.5">
      <c r="P56" s="35"/>
      <c r="Q56" s="35"/>
    </row>
    <row r="57" spans="1:22" ht="13.5">
      <c r="A57" s="35"/>
      <c r="J57" s="35"/>
      <c r="K57" s="35"/>
      <c r="L57" s="35"/>
      <c r="M57" s="35"/>
      <c r="N57" s="35"/>
      <c r="O57" s="35"/>
      <c r="V57" s="124"/>
    </row>
    <row r="58" ht="13.5">
      <c r="I58" s="35"/>
    </row>
    <row r="59" ht="13.5">
      <c r="I59" s="35"/>
    </row>
    <row r="61" ht="13.5">
      <c r="U61" s="123"/>
    </row>
    <row r="62" spans="2:20" ht="13.5">
      <c r="B62" s="35"/>
      <c r="C62" s="35"/>
      <c r="T62" s="122" t="s">
        <v>97</v>
      </c>
    </row>
    <row r="63" spans="2:3" ht="13.5">
      <c r="B63" s="35"/>
      <c r="C63" s="35"/>
    </row>
    <row r="64" spans="2:3" ht="13.5">
      <c r="B64" s="35"/>
      <c r="C64" s="35"/>
    </row>
    <row r="65" spans="2:3" ht="28.5" customHeight="1">
      <c r="B65" s="35"/>
      <c r="C65" s="35"/>
    </row>
    <row r="66" ht="13.5">
      <c r="R66" s="35"/>
    </row>
    <row r="67" ht="13.5">
      <c r="R67" s="35"/>
    </row>
    <row r="68" ht="13.5">
      <c r="R68" s="35"/>
    </row>
    <row r="69" ht="13.5">
      <c r="R69" s="35"/>
    </row>
    <row r="70" spans="16:19" ht="13.5">
      <c r="P70" s="35"/>
      <c r="Q70" s="35"/>
      <c r="S70" s="35"/>
    </row>
    <row r="71" spans="16:19" ht="13.5">
      <c r="P71" s="35"/>
      <c r="Q71" s="35"/>
      <c r="S71" s="35"/>
    </row>
    <row r="72" spans="16:19" ht="13.5">
      <c r="P72" s="35"/>
      <c r="Q72" s="35"/>
      <c r="S72" s="35"/>
    </row>
    <row r="73" spans="16:19" ht="13.5">
      <c r="P73" s="35"/>
      <c r="Q73" s="35"/>
      <c r="S73" s="35"/>
    </row>
  </sheetData>
  <sheetProtection selectLockedCells="1"/>
  <mergeCells count="23">
    <mergeCell ref="S5:S6"/>
    <mergeCell ref="S22:U43"/>
    <mergeCell ref="E26:F26"/>
    <mergeCell ref="C25:D25"/>
    <mergeCell ref="C26:D26"/>
    <mergeCell ref="H25:I25"/>
    <mergeCell ref="J23:M24"/>
    <mergeCell ref="J25:M25"/>
    <mergeCell ref="J26:M26"/>
    <mergeCell ref="E25:F25"/>
    <mergeCell ref="B23:B24"/>
    <mergeCell ref="C23:D24"/>
    <mergeCell ref="J28:M28"/>
    <mergeCell ref="H28:I28"/>
    <mergeCell ref="E28:F28"/>
    <mergeCell ref="H26:I26"/>
    <mergeCell ref="C28:D28"/>
    <mergeCell ref="F10:G10"/>
    <mergeCell ref="F19:I19"/>
    <mergeCell ref="E23:F23"/>
    <mergeCell ref="E24:F24"/>
    <mergeCell ref="H23:I23"/>
    <mergeCell ref="H24:I24"/>
  </mergeCells>
  <printOptions/>
  <pageMargins left="0.3" right="0.16" top="0.7480314960629921" bottom="0.38"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2014-05-29T02:45:09Z</cp:lastPrinted>
  <dcterms:created xsi:type="dcterms:W3CDTF">2013-12-03T23:15:32Z</dcterms:created>
  <dcterms:modified xsi:type="dcterms:W3CDTF">2020-05-13T06:13:42Z</dcterms:modified>
  <cp:category/>
  <cp:version/>
  <cp:contentType/>
  <cp:contentStatus/>
</cp:coreProperties>
</file>